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mZOn3OCzDX+CJbwWi6Nyu8C41jYT0AqXIG2cMfvhO0bxHcTbH3q5ldV6DPr+0HwAaTSzxsnEj/7VL1RuTY1uA==" workbookSaltValue="s9aemaIfYY5kSIJ2s2F7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BF17" i="8" l="1"/>
  <c r="T31" i="8"/>
  <c r="K30" i="2"/>
  <c r="AL21" i="11"/>
  <c r="L17" i="14"/>
  <c r="T9" i="11"/>
  <c r="BG17" i="13"/>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S23" i="16"/>
  <c r="K17" i="12"/>
  <c r="BF23" i="13"/>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<sst xmlns="http://schemas.openxmlformats.org/spreadsheetml/2006/main" count="2682" uniqueCount="1193">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</sst>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DzVuu2Fzo6UI1fGV93/FwMji3ey74hdWRNe08NNUyNhlGy/lgh8vsm1JBlu8BjNWW+0WzJIgILgJxWVvZvww==" saltValue="DKwPvMqkvY+f+LeilV9J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20</v>
      </c>
      <c r="E10" s="240">
        <f>IF(ISNUMBER(Datos!J10),Datos!J10," - ")</f>
        <v>11</v>
      </c>
      <c r="F10" s="240">
        <f>IF(ISNUMBER(Datos!K10),Datos!K10," - ")</f>
        <v>6</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0.23809523809523808</v>
      </c>
      <c r="L10" s="1402">
        <f>IF(ISNUMBER(NºAsuntos!I10/NºAsuntos!G10),(NºAsuntos!I10/NºAsuntos!G10)*11," - ")</f>
        <v>47.666666666666664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40.793522267206477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20</v>
      </c>
      <c r="E14" s="1408">
        <f>SUBTOTAL(9,E9:E13)</f>
        <v>11</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767</v>
      </c>
      <c r="D17" s="239">
        <f>IF(ISNUMBER(IF(D_I="SI",Datos!I17,Datos!I17+Datos!AC17)),IF(D_I="SI",Datos!I17,Datos!I17+Datos!AC17)," - ")</f>
        <v>756</v>
      </c>
      <c r="E17" s="240">
        <f>IF(ISNUMBER(IF(D_I="SI",Datos!J17,Datos!J17+Datos!AD17)),IF(D_I="SI",Datos!J17,Datos!J17+Datos!AD17)," - ")</f>
        <v>574</v>
      </c>
      <c r="F17" s="240">
        <f>IF(ISNUMBER(IF(D_I="SI",Datos!K17,Datos!K17+Datos!AE17)),IF(D_I="SI",Datos!K17,Datos!K17+Datos!AE17)," - ")</f>
        <v>549</v>
      </c>
      <c r="G17" s="1390" t="str">
        <f>IF(Datos!E17&lt;&gt;"",Datos!E17,Datos!D17)</f>
        <v>04</v>
      </c>
      <c r="H17" s="241">
        <f>IF(ISNUMBER(IF(D_I="SI",Datos!L17,Datos!L17+Datos!AF17)),IF(D_I="SI",Datos!L17,Datos!L17+Datos!AF17)," - ")</f>
        <v>792</v>
      </c>
      <c r="I17" s="1400" t="str">
        <f>IF(ISNUMBER(Datos!AS17/Datos!BM17),Datos!AS17/Datos!BM17," - ")</f>
        <v xml:space="preserve"> - </v>
      </c>
      <c r="J17" s="1401">
        <f>IF(ISNUMBER(Datos!BY17/Datos!CN17),Datos!BY17/Datos!CN17," - ")</f>
        <v>0</v>
      </c>
      <c r="K17" s="244">
        <f t="shared" si="3"/>
        <v>3.259452411994785E-2</v>
      </c>
      <c r="L17" s="1402">
        <f>IF(ISNUMBER(NºAsuntos!I17/NºAsuntos!G17),(NºAsuntos!I17/NºAsuntos!G17)*11," - ")</f>
        <v>15.868852459016393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75</v>
      </c>
      <c r="D18" s="239">
        <f>IF(ISNUMBER(IF(D_I="SI",Datos!I18,Datos!I18+Datos!AC18)),IF(D_I="SI",Datos!I18,Datos!I18+Datos!AC18)," - ")</f>
        <v>37</v>
      </c>
      <c r="E18" s="240">
        <f>IF(ISNUMBER(IF(D_I="SI",Datos!J18,Datos!J18+Datos!AD18)),IF(D_I="SI",Datos!J18,Datos!J18+Datos!AD18)," - ")</f>
        <v>70</v>
      </c>
      <c r="F18" s="240">
        <f>IF(ISNUMBER(IF(D_I="SI",Datos!K18,Datos!K18+Datos!AE18)),IF(D_I="SI",Datos!K18,Datos!K18+Datos!AE18)," - ")</f>
        <v>61</v>
      </c>
      <c r="G18" s="1390" t="str">
        <f>IF(Datos!E18&lt;&gt;"",Datos!E18,Datos!D18)</f>
        <v>37</v>
      </c>
      <c r="H18" s="241">
        <f>IF(ISNUMBER(IF(D_I="SI",Datos!L18,Datos!L18+Datos!AF18)),IF(D_I="SI",Datos!L18,Datos!L18+Datos!AF18)," - ")</f>
        <v>84</v>
      </c>
      <c r="I18" s="1400" t="str">
        <f>IF(ISNUMBER(Datos!AS18/Datos!BM18),Datos!AS18/Datos!BM18," - ")</f>
        <v xml:space="preserve"> - </v>
      </c>
      <c r="J18" s="1401" t="str">
        <f>IF(ISNUMBER((Datos!BY18+Datos!BZ18)/Datos!CN18),(Datos!BY18+Datos!BZ18)/Datos!CN18," - ")</f>
        <v xml:space="preserve"> - </v>
      </c>
      <c r="K18" s="244">
        <f t="shared" si="3"/>
        <v>0.12</v>
      </c>
      <c r="L18" s="1402">
        <f>IF(ISNUMBER(NºAsuntos!I18/NºAsuntos!G18),(NºAsuntos!I18/NºAsuntos!G18)*11," - ")</f>
        <v>15.147540983606557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842</v>
      </c>
      <c r="D23" s="1407">
        <f>SUBTOTAL(9,D16:D22)</f>
        <v>793</v>
      </c>
      <c r="E23" s="1408">
        <f>SUBTOTAL(9,E16:E22)</f>
        <v>644</v>
      </c>
      <c r="F23" s="1408">
        <f>SUBTOTAL(9,F16:F22)</f>
        <v>610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863</v>
      </c>
      <c r="D31" s="1435">
        <f>SUBTOTAL(9,D9:D30)</f>
        <v>813</v>
      </c>
      <c r="E31" s="1436">
        <f>SUBTOTAL(9,E9:E30)</f>
        <v>655</v>
      </c>
      <c r="F31" s="1436">
        <f>SUBTOTAL(9,F9:F30)</f>
        <v>616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5vIA0LN4jmWcHl0fcAwWDVyiQ9x8v74URRABJljhIiM7MWpqzqjvJQMtsqSjPm/3BTs/1ODDjNa0CM9+YkFZA==" saltValue="1uniKSBvFCn3wcGGFqg5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Dvb2XBGN+c+9Ii0YqDkQCDTHNjPWveKE5DGs3/lBasmNLjaSLr0LVfhWldUOm4Z37KUe0f9ySJZPBZTH9Yw8A==" saltValue="dhCyh5K9VZZzIAzp1e6Z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11</v>
      </c>
      <c r="K10" s="194">
        <v>6</v>
      </c>
      <c r="L10" s="194">
        <v>26</v>
      </c>
      <c r="M10" s="194">
        <v>1</v>
      </c>
      <c r="N10" s="194">
        <v>4</v>
      </c>
      <c r="O10" s="194">
        <v>0</v>
      </c>
      <c r="P10" s="194">
        <v>2</v>
      </c>
      <c r="Q10" s="194">
        <v>0</v>
      </c>
      <c r="R10" s="194">
        <v>6</v>
      </c>
      <c r="S10" s="194">
        <v>15</v>
      </c>
      <c r="T10" s="194">
        <v>13</v>
      </c>
      <c r="U10" s="194">
        <v>4</v>
      </c>
      <c r="V10" s="194">
        <v>24</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13</v>
      </c>
      <c r="BA10" s="139">
        <f t="shared" si="0"/>
        <v>4</v>
      </c>
      <c r="BB10" s="139">
        <f t="shared" si="0"/>
        <v>24</v>
      </c>
      <c r="BC10" s="135">
        <f t="shared" si="0"/>
        <v>4</v>
      </c>
      <c r="BD10" s="136">
        <f>IF(ISNUMBER(BA10/AZ10),BA10/AZ10," - ")</f>
        <v>0.30769230769230771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1733</v>
      </c>
      <c r="J12" s="196">
        <v>508</v>
      </c>
      <c r="K12" s="196">
        <v>452</v>
      </c>
      <c r="L12" s="196">
        <v>1783</v>
      </c>
      <c r="M12" s="196">
        <v>95</v>
      </c>
      <c r="N12" s="196">
        <v>180</v>
      </c>
      <c r="O12" s="194">
        <v>263</v>
      </c>
      <c r="P12" s="196">
        <v>143</v>
      </c>
      <c r="Q12" s="196">
        <v>59</v>
      </c>
      <c r="R12" s="196">
        <v>2442</v>
      </c>
      <c r="S12" s="196">
        <v>1528</v>
      </c>
      <c r="T12" s="196">
        <v>453</v>
      </c>
      <c r="U12" s="196">
        <v>509</v>
      </c>
      <c r="V12" s="196">
        <v>1456</v>
      </c>
      <c r="W12" s="196">
        <v>118</v>
      </c>
      <c r="X12" s="202">
        <v>222</v>
      </c>
      <c r="Y12" s="204">
        <v>60</v>
      </c>
      <c r="Z12" s="194">
        <v>29</v>
      </c>
      <c r="AA12" s="194">
        <v>42</v>
      </c>
      <c r="AB12" s="194">
        <v>49</v>
      </c>
      <c r="AC12" s="196">
        <v>0</v>
      </c>
      <c r="AD12" s="196">
        <v>0</v>
      </c>
      <c r="AE12" s="196">
        <v>0</v>
      </c>
      <c r="AF12" s="202">
        <v>0</v>
      </c>
      <c r="AG12" s="215">
        <v>68</v>
      </c>
      <c r="AH12" s="196">
        <v>28</v>
      </c>
      <c r="AI12" s="196">
        <v>38</v>
      </c>
      <c r="AJ12" s="216">
        <v>59</v>
      </c>
      <c r="AK12" s="195">
        <v>0</v>
      </c>
      <c r="AL12" s="196">
        <v>0</v>
      </c>
      <c r="AM12" s="196">
        <v>0</v>
      </c>
      <c r="AN12" s="202">
        <v>0</v>
      </c>
      <c r="AO12" s="283">
        <v>3</v>
      </c>
      <c r="AP12" s="168">
        <v>3</v>
      </c>
      <c r="AQ12" s="168">
        <v>3</v>
      </c>
      <c r="AR12" s="167">
        <v>3</v>
      </c>
      <c r="AS12" s="381" t="s">
        <v>1075</v>
      </c>
      <c r="AT12" s="216"/>
      <c r="AU12" s="215"/>
      <c r="AV12" s="216"/>
      <c r="AW12" s="215"/>
      <c r="AX12" s="216"/>
      <c r="AY12" s="136">
        <f t="shared" si="1"/>
        <v>1596</v>
      </c>
      <c r="AZ12" s="137">
        <f t="shared" si="1"/>
        <v>481</v>
      </c>
      <c r="BA12" s="137">
        <f t="shared" si="1"/>
        <v>547</v>
      </c>
      <c r="BB12" s="137">
        <f t="shared" si="1"/>
        <v>1515</v>
      </c>
      <c r="BC12" s="135">
        <f>IF(ISNUMBER(X12),X12," - ")</f>
        <v>222</v>
      </c>
      <c r="BD12" s="136">
        <f t="shared" si="2"/>
        <v>1.1372141372141371</v>
      </c>
      <c r="BE12" s="137">
        <f t="shared" si="3"/>
        <v>2.7696526508226693</v>
      </c>
      <c r="BF12" s="137">
        <f t="shared" si="4"/>
        <v>0.40585009140767825</v>
      </c>
      <c r="BG12" s="209">
        <f t="shared" si="5"/>
        <v>3.797074954296161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1753</v>
      </c>
      <c r="J14" s="197">
        <f t="shared" si="7"/>
        <v>519</v>
      </c>
      <c r="K14" s="197">
        <f t="shared" si="7"/>
        <v>458</v>
      </c>
      <c r="L14" s="197">
        <f t="shared" si="7"/>
        <v>1809</v>
      </c>
      <c r="M14" s="197">
        <f t="shared" si="7"/>
        <v>96</v>
      </c>
      <c r="N14" s="197">
        <f t="shared" si="7"/>
        <v>184</v>
      </c>
      <c r="O14" s="197">
        <f t="shared" si="7"/>
        <v>263</v>
      </c>
      <c r="P14" s="197">
        <f t="shared" si="7"/>
        <v>145</v>
      </c>
      <c r="Q14" s="197">
        <f t="shared" si="7"/>
        <v>59</v>
      </c>
      <c r="R14" s="197">
        <f t="shared" si="7"/>
        <v>2448</v>
      </c>
      <c r="S14" s="197">
        <f t="shared" si="7"/>
        <v>1543</v>
      </c>
      <c r="T14" s="197">
        <f t="shared" si="7"/>
        <v>466</v>
      </c>
      <c r="U14" s="197">
        <f t="shared" si="7"/>
        <v>513</v>
      </c>
      <c r="V14" s="197">
        <f t="shared" si="7"/>
        <v>1480</v>
      </c>
      <c r="W14" s="197">
        <f t="shared" si="7"/>
        <v>122</v>
      </c>
      <c r="X14" s="197">
        <f t="shared" si="7"/>
        <v>222</v>
      </c>
      <c r="Y14" s="197">
        <f t="shared" si="7"/>
        <v>60</v>
      </c>
      <c r="Z14" s="197">
        <f t="shared" si="7"/>
        <v>29</v>
      </c>
      <c r="AA14" s="197">
        <f t="shared" si="7"/>
        <v>42</v>
      </c>
      <c r="AB14" s="197">
        <f t="shared" si="7"/>
        <v>49</v>
      </c>
      <c r="AC14" s="197">
        <f t="shared" si="7"/>
        <v>0</v>
      </c>
      <c r="AD14" s="197">
        <f t="shared" si="7"/>
        <v>0</v>
      </c>
      <c r="AE14" s="197">
        <f t="shared" si="7"/>
        <v>0</v>
      </c>
      <c r="AF14" s="197">
        <f>SUBTOTAL(9,AF9:AF13)</f>
        <v>0</v>
      </c>
      <c r="AG14" s="197">
        <f t="shared" ref="AG14:AT14" si="8">SUBTOTAL(9,AG8:AG13)</f>
        <v>68</v>
      </c>
      <c r="AH14" s="197">
        <f t="shared" si="8"/>
        <v>28</v>
      </c>
      <c r="AI14" s="197">
        <f t="shared" si="8"/>
        <v>38</v>
      </c>
      <c r="AJ14" s="197">
        <f t="shared" si="8"/>
        <v>59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1611</v>
      </c>
      <c r="AZ14" s="197">
        <f>SUBTOTAL(9,AZ8:AZ13)</f>
        <v>494</v>
      </c>
      <c r="BA14" s="197">
        <f>SUBTOTAL(9,BA8:BA13)</f>
        <v>551</v>
      </c>
      <c r="BB14" s="197">
        <f>SUBTOTAL(9,BB8:BB13)</f>
        <v>1539</v>
      </c>
      <c r="BC14" s="197">
        <f>SUBTOTAL(9,BC8:BC13)</f>
        <v>226</v>
      </c>
      <c r="BD14" s="219">
        <f>IF(ISNUMBER(BA14/AZ14),BA14/AZ14," - ")</f>
        <v>1.1153846153846154</v>
      </c>
      <c r="BE14" s="220">
        <f>IF(ISNUMBER(BB14/BA14),BB14/BA14, " - ")</f>
        <v>2.7931034482758621</v>
      </c>
      <c r="BF14" s="220">
        <f>IF(ISNUMBER(BC14/BA14),BC14/BA14, " - ")</f>
        <v>0.41016333938294008</v>
      </c>
      <c r="BG14" s="221">
        <f>IF(ISNUMBER((AY14+AZ14)/BA14),(AY14+AZ14)/BA14," - ")</f>
        <v>3.8203266787658801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756</v>
      </c>
      <c r="J17" s="196">
        <v>574</v>
      </c>
      <c r="K17" s="196">
        <v>549</v>
      </c>
      <c r="L17" s="196">
        <v>792</v>
      </c>
      <c r="M17" s="196">
        <v>92</v>
      </c>
      <c r="N17" s="196">
        <v>330</v>
      </c>
      <c r="O17" s="194">
        <v>13</v>
      </c>
      <c r="P17" s="196">
        <v>20</v>
      </c>
      <c r="Q17" s="196">
        <v>13</v>
      </c>
      <c r="R17" s="196">
        <v>111</v>
      </c>
      <c r="S17" s="196">
        <v>679</v>
      </c>
      <c r="T17" s="196">
        <v>555</v>
      </c>
      <c r="U17" s="196">
        <v>562</v>
      </c>
      <c r="V17" s="196">
        <v>700</v>
      </c>
      <c r="W17" s="196">
        <v>91</v>
      </c>
      <c r="X17" s="202">
        <v>305</v>
      </c>
      <c r="Y17" s="215">
        <v>0</v>
      </c>
      <c r="Z17" s="196">
        <v>0</v>
      </c>
      <c r="AA17" s="196">
        <v>0</v>
      </c>
      <c r="AB17" s="196">
        <v>0</v>
      </c>
      <c r="AC17" s="196">
        <v>0</v>
      </c>
      <c r="AD17" s="196">
        <v>8</v>
      </c>
      <c r="AE17" s="196">
        <v>8</v>
      </c>
      <c r="AF17" s="202">
        <v>0</v>
      </c>
      <c r="AG17" s="215">
        <v>0</v>
      </c>
      <c r="AH17" s="196">
        <v>0</v>
      </c>
      <c r="AI17" s="196">
        <v>0</v>
      </c>
      <c r="AJ17" s="216">
        <v>0</v>
      </c>
      <c r="AK17" s="195">
        <v>0</v>
      </c>
      <c r="AL17" s="196">
        <v>5</v>
      </c>
      <c r="AM17" s="196">
        <v>4</v>
      </c>
      <c r="AN17" s="202">
        <v>1</v>
      </c>
      <c r="AO17" s="283">
        <v>3</v>
      </c>
      <c r="AP17" s="168">
        <v>3</v>
      </c>
      <c r="AQ17" s="168">
        <v>3</v>
      </c>
      <c r="AR17" s="168">
        <v>3</v>
      </c>
      <c r="AS17" s="381" t="s">
        <v>650</v>
      </c>
      <c r="AT17" s="216"/>
      <c r="AU17" s="215"/>
      <c r="AV17" s="216"/>
      <c r="AW17" s="215"/>
      <c r="AX17" s="216"/>
      <c r="AY17" s="136">
        <f t="shared" si="10"/>
        <v>679</v>
      </c>
      <c r="AZ17" s="137">
        <f t="shared" si="10"/>
        <v>555</v>
      </c>
      <c r="BA17" s="137">
        <f t="shared" si="10"/>
        <v>562</v>
      </c>
      <c r="BB17" s="137">
        <f t="shared" si="10"/>
        <v>700</v>
      </c>
      <c r="BC17" s="135">
        <f>IF(ISNUMBER(W17),W17," - ")</f>
        <v>91</v>
      </c>
      <c r="BD17" s="136">
        <f t="shared" ref="BD17:BD22" si="12">IF(ISNUMBER(BA17/AZ17),BA17/AZ17," - ")</f>
        <v>1.0126126126126127</v>
      </c>
      <c r="BE17" s="137">
        <f t="shared" ref="BE17:BE22" si="13">IF(ISNUMBER(BB17/BA17),BB17/BA17, " - ")</f>
        <v>1.2455516014234875</v>
      </c>
      <c r="BF17" s="137">
        <f t="shared" ref="BF17:BF22" si="14">IF(ISNUMBER(BC17/BA17),BC17/BA17, " - ")</f>
        <v>0.16192170818505339</v>
      </c>
      <c r="BG17" s="209">
        <f t="shared" si="11"/>
        <v>2.1957295373665482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70</v>
      </c>
      <c r="K18" s="196">
        <v>61</v>
      </c>
      <c r="L18" s="196">
        <v>84</v>
      </c>
      <c r="M18" s="196">
        <v>13</v>
      </c>
      <c r="N18" s="196">
        <v>20</v>
      </c>
      <c r="O18" s="196">
        <v>0</v>
      </c>
      <c r="P18" s="196">
        <v>0</v>
      </c>
      <c r="Q18" s="196">
        <v>0</v>
      </c>
      <c r="R18" s="196">
        <v>0</v>
      </c>
      <c r="S18" s="196">
        <v>47</v>
      </c>
      <c r="T18" s="196">
        <v>51</v>
      </c>
      <c r="U18" s="196">
        <v>43</v>
      </c>
      <c r="V18" s="196">
        <v>54</v>
      </c>
      <c r="W18" s="196">
        <v>5</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51</v>
      </c>
      <c r="BA18" s="139">
        <f t="shared" si="15"/>
        <v>43</v>
      </c>
      <c r="BB18" s="139">
        <f t="shared" si="15"/>
        <v>54</v>
      </c>
      <c r="BC18" s="135">
        <f>IF(ISNUMBER(W18),W18," - ")</f>
        <v>5</v>
      </c>
      <c r="BD18" s="136">
        <f>IF(ISNUMBER(BA18/AZ18),BA18/AZ18," - ")</f>
        <v>0.84313725490196079</v>
      </c>
      <c r="BE18" s="137">
        <f>IF(ISNUMBER(BB18/BA18),BB18/BA18, " - ")</f>
        <v>1.2558139534883721</v>
      </c>
      <c r="BF18" s="137">
        <f>IF(ISNUMBER(BC18/BA18),BC18/BA18, " - ")</f>
        <v>0.11627906976744186</v>
      </c>
      <c r="BG18" s="209">
        <f>IF(ISNUMBER((AY18+AZ18)/BA18),(AY18+AZ18)/BA18," - ")</f>
        <v>2.2790697674418605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793</v>
      </c>
      <c r="J23" s="197">
        <f t="shared" si="21"/>
        <v>644</v>
      </c>
      <c r="K23" s="197">
        <f t="shared" si="21"/>
        <v>610</v>
      </c>
      <c r="L23" s="197">
        <f t="shared" si="21"/>
        <v>876</v>
      </c>
      <c r="M23" s="197">
        <f t="shared" si="21"/>
        <v>105</v>
      </c>
      <c r="N23" s="197">
        <f t="shared" si="21"/>
        <v>350</v>
      </c>
      <c r="O23" s="197">
        <f t="shared" si="21"/>
        <v>13</v>
      </c>
      <c r="P23" s="197">
        <f t="shared" si="21"/>
        <v>20</v>
      </c>
      <c r="Q23" s="197">
        <f t="shared" si="21"/>
        <v>13</v>
      </c>
      <c r="R23" s="197">
        <f t="shared" si="21"/>
        <v>111</v>
      </c>
      <c r="S23" s="197">
        <f t="shared" si="21"/>
        <v>726</v>
      </c>
      <c r="T23" s="197">
        <f t="shared" si="21"/>
        <v>606</v>
      </c>
      <c r="U23" s="197">
        <f t="shared" si="21"/>
        <v>605</v>
      </c>
      <c r="V23" s="197">
        <f t="shared" si="21"/>
        <v>754</v>
      </c>
      <c r="W23" s="197">
        <f t="shared" si="21"/>
        <v>96</v>
      </c>
      <c r="X23" s="197">
        <f t="shared" si="21"/>
        <v>328</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5</v>
      </c>
      <c r="AM23" s="197">
        <f t="shared" si="21"/>
        <v>4</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726</v>
      </c>
      <c r="AZ23" s="197">
        <f>SUBTOTAL(9,AZ15:AZ22)</f>
        <v>606</v>
      </c>
      <c r="BA23" s="197">
        <f>SUBTOTAL(9,BA15:BA22)</f>
        <v>605</v>
      </c>
      <c r="BB23" s="197">
        <f>SUBTOTAL(9,BB15:BB22)</f>
        <v>754</v>
      </c>
      <c r="BC23" s="197">
        <f>SUBTOTAL(9,BC15:BC22)</f>
        <v>96</v>
      </c>
      <c r="BD23" s="219">
        <f>IF(ISNUMBER(BA23/AZ23),BA23/AZ23," - ")</f>
        <v>0.99834983498349839</v>
      </c>
      <c r="BE23" s="220">
        <f>IF(ISNUMBER(BB23/BA23),BB23/BA23, " - ")</f>
        <v>1.2462809917355371</v>
      </c>
      <c r="BF23" s="220">
        <f>IF(ISNUMBER(BC23/BA23),BC23/BA23, " - ")</f>
        <v>0.15867768595041323</v>
      </c>
      <c r="BG23" s="221">
        <f>IF(ISNUMBER((AY23+AZ23)/BA23),(AY23+AZ23)/BA23," - ")</f>
        <v>2.2016528925619836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2546</v>
      </c>
      <c r="J31" s="144">
        <f t="shared" si="36"/>
        <v>1163</v>
      </c>
      <c r="K31" s="144">
        <f t="shared" si="36"/>
        <v>1068</v>
      </c>
      <c r="L31" s="144">
        <f t="shared" si="36"/>
        <v>2685</v>
      </c>
      <c r="M31" s="144">
        <f t="shared" si="36"/>
        <v>201</v>
      </c>
      <c r="N31" s="144">
        <f t="shared" si="36"/>
        <v>534</v>
      </c>
      <c r="O31" s="144">
        <f t="shared" si="36"/>
        <v>276</v>
      </c>
      <c r="P31" s="144">
        <f t="shared" si="36"/>
        <v>165</v>
      </c>
      <c r="Q31" s="144">
        <f t="shared" si="36"/>
        <v>72</v>
      </c>
      <c r="R31" s="144">
        <f t="shared" si="36"/>
        <v>2559</v>
      </c>
      <c r="S31" s="144">
        <f t="shared" si="36"/>
        <v>2269</v>
      </c>
      <c r="T31" s="144">
        <f t="shared" si="36"/>
        <v>1072</v>
      </c>
      <c r="U31" s="144">
        <f t="shared" si="36"/>
        <v>1118</v>
      </c>
      <c r="V31" s="144">
        <f t="shared" si="36"/>
        <v>2234</v>
      </c>
      <c r="W31" s="144">
        <f t="shared" si="36"/>
        <v>218</v>
      </c>
      <c r="X31" s="144">
        <f t="shared" si="36"/>
        <v>550</v>
      </c>
      <c r="Y31" s="144">
        <f t="shared" si="36"/>
        <v>60</v>
      </c>
      <c r="Z31" s="144">
        <f t="shared" si="36"/>
        <v>29</v>
      </c>
      <c r="AA31" s="144">
        <f t="shared" si="36"/>
        <v>42</v>
      </c>
      <c r="AB31" s="144">
        <f t="shared" si="36"/>
        <v>49</v>
      </c>
      <c r="AC31" s="144">
        <f t="shared" si="36"/>
        <v>0</v>
      </c>
      <c r="AD31" s="144">
        <f t="shared" si="36"/>
        <v>8</v>
      </c>
      <c r="AE31" s="144">
        <f t="shared" si="36"/>
        <v>8</v>
      </c>
      <c r="AF31" s="144">
        <f t="shared" si="36"/>
        <v>0</v>
      </c>
      <c r="AG31" s="144">
        <f t="shared" si="36"/>
        <v>68</v>
      </c>
      <c r="AH31" s="144">
        <f t="shared" si="36"/>
        <v>28</v>
      </c>
      <c r="AI31" s="144">
        <f t="shared" si="36"/>
        <v>38</v>
      </c>
      <c r="AJ31" s="144">
        <f t="shared" si="36"/>
        <v>59</v>
      </c>
      <c r="AK31" s="144">
        <f t="shared" si="36"/>
        <v>0</v>
      </c>
      <c r="AL31" s="144">
        <f t="shared" si="36"/>
        <v>5</v>
      </c>
      <c r="AM31" s="144">
        <f t="shared" si="36"/>
        <v>4</v>
      </c>
      <c r="AN31" s="224">
        <f t="shared" si="36"/>
        <v>1</v>
      </c>
      <c r="AO31" s="225">
        <v>4</v>
      </c>
      <c r="AP31" s="225">
        <v>3</v>
      </c>
      <c r="AQ31" s="225">
        <v>3</v>
      </c>
      <c r="AR31" s="225">
        <v>3</v>
      </c>
      <c r="AS31" s="166">
        <f t="shared" si="36"/>
        <v>0</v>
      </c>
      <c r="AT31" s="166">
        <f t="shared" si="36"/>
        <v>0</v>
      </c>
      <c r="AU31" s="225"/>
      <c r="AV31" s="226"/>
      <c r="AW31" s="225"/>
      <c r="AX31" s="226"/>
      <c r="AY31" s="143">
        <f>SUBTOTAL(9,AY9:AY30)</f>
        <v>2337</v>
      </c>
      <c r="AZ31" s="144">
        <f>SUBTOTAL(9,AZ9:AZ30)</f>
        <v>1100</v>
      </c>
      <c r="BA31" s="144">
        <f>SUBTOTAL(9,BA9:BA30)</f>
        <v>1156</v>
      </c>
      <c r="BB31" s="144">
        <f>SUBTOTAL(9,BB9:BB30)</f>
        <v>2293</v>
      </c>
      <c r="BC31" s="145">
        <f>SUBTOTAL(9,BC9:BC30)</f>
        <v>322</v>
      </c>
      <c r="BD31" s="227">
        <f>IF(ISNUMBER(BA31/AZ31),BA31/AZ31," - ")</f>
        <v>1.050909090909091</v>
      </c>
      <c r="BE31" s="224">
        <f>IF(ISNUMBER(BB31/BA31),BB31/BA31, " - ")</f>
        <v>1.9835640138408304</v>
      </c>
      <c r="BF31" s="224">
        <f>IF(ISNUMBER(BC31/BA31),BC31/BA31, " - ")</f>
        <v>0.27854671280276816</v>
      </c>
      <c r="BG31" s="145">
        <f>IF(ISNUMBER((AY31+AZ31)/BA31),(AY31+AZ31)/BA31," - ")</f>
        <v>2.9731833910034604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h6SGz+lKh3b7MZDb902i7xFB94U/30O/xs+p6ZTmnL0HVWVr8laWqwMgdhbVft61FuqxwWTaGjn9+G5D/EJzg==" saltValue="b8tZXZ+QNOwg2FmOvLSA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uxbY2iTcaqVtZGta+xw1QXRYCgkth0KzqnQ2864SC7ChA6hMw8tudeYb3NJD4ykeTBIdTD5bvdpKabS+3M8uw==" saltValue="041MNIGVNjX/1/DUeDJR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CARAVACA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26</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4</v>
      </c>
      <c r="BE10" s="693" t="str">
        <f>IF(ISNUMBER(Datos!BW10),Datos!BW10," - ")</f>
        <v xml:space="preserve"> - </v>
      </c>
      <c r="BF10" s="762" t="str">
        <f>IF(ISNUMBER(Datos!BX10),Datos!BX10," - ")</f>
        <v xml:space="preserve"> - </v>
      </c>
      <c r="BG10" s="763">
        <f>IF(ISNUMBER(Datos!K10/Datos!J10),Datos!K10/Datos!J10," - ")</f>
        <v>0.54545454545454541</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143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2442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v>
      </c>
      <c r="BD12" s="693">
        <f>IF(ISNUMBER(Datos!N12),Datos!N12," - ")</f>
        <v>180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0.91992551210428308</v>
      </c>
      <c r="BH12" s="764">
        <f>IF(ISNUMBER(((IF(J_V="SI",Datos!L12/Datos!K12,(Datos!L12+Datos!AB12)/(Datos!K12+Datos!AA12)))*11)/factor_trimestre),((IF(J_V="SI",Datos!L12/Datos!K12,(Datos!L12+Datos!AB12)/(Datos!K12+Datos!AA12)))*11)/factor_trimestre," - ")</f>
        <v>11.125506072874494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3.5623409669211195E-2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21</v>
      </c>
      <c r="G14" s="1197">
        <f t="shared" si="1"/>
        <v>20</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59</v>
      </c>
      <c r="AD14" s="1198">
        <f t="shared" si="2"/>
        <v>0</v>
      </c>
      <c r="AE14" s="1198">
        <f t="shared" si="2"/>
        <v>0</v>
      </c>
      <c r="AF14" s="1198">
        <f t="shared" si="2"/>
        <v>26</v>
      </c>
      <c r="AG14" s="1198">
        <f t="shared" si="2"/>
        <v>0</v>
      </c>
      <c r="AH14" s="1198">
        <f t="shared" si="2"/>
        <v>49</v>
      </c>
      <c r="AI14" s="1198">
        <f t="shared" si="2"/>
        <v>0</v>
      </c>
      <c r="AJ14" s="1198">
        <f t="shared" si="2"/>
        <v>0</v>
      </c>
      <c r="AK14" s="1198">
        <f t="shared" si="2"/>
        <v>0</v>
      </c>
      <c r="AL14" s="1198">
        <f t="shared" si="2"/>
        <v>0</v>
      </c>
      <c r="AM14" s="1198">
        <f t="shared" si="2"/>
        <v>2448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184</v>
      </c>
      <c r="BE14" s="1198">
        <f t="shared" si="2"/>
        <v>0</v>
      </c>
      <c r="BF14" s="1198">
        <f t="shared" si="2"/>
        <v>0</v>
      </c>
      <c r="BG14" s="1198">
        <f>IF(ISNUMBER(Datos!K14/Datos!J14),Datos!K14/Datos!J14," - ")</f>
        <v>0.88246628131021199</v>
      </c>
      <c r="BH14" s="1202">
        <f>IF(ISNUMBER(((Datos!L14/Datos!K14)*11)/factor_trimestre),((Datos!L14/Datos!K14)*11)/factor_trimestre," - ")</f>
        <v>11.84934497816594</v>
      </c>
      <c r="BI14" s="1198">
        <f>IF(ISNUMBER('Resol  Asuntos'!D14/NºAsuntos!G14),'Resol  Asuntos'!D14/NºAsuntos!G14," - ")</f>
        <v>0.192</v>
      </c>
      <c r="BJ14" s="1198" t="str">
        <f>IF(ISNUMBER(Datos!CI14/Datos!CJ14),Datos!CI14/Datos!CJ14," - ")</f>
        <v xml:space="preserve"> - </v>
      </c>
      <c r="BK14" s="1198">
        <f>SUBTOTAL(9,BK8:BK13)</f>
        <v>0</v>
      </c>
      <c r="BL14" s="1198">
        <f>IF(ISNUMBER((I14-AB14+L14)/(F14)),(I14-AB14+L14)/(F14)," - ")</f>
        <v>-0.2857142857142857</v>
      </c>
      <c r="BM14" s="1203">
        <f>SUBTOTAL(9,BM9:BM13)</f>
        <v>0.53562340966921118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767</v>
      </c>
      <c r="G17" s="743">
        <f>IF(ISNUMBER(IF(D_I="SI",Datos!I17,Datos!I17+Datos!AC17)),IF(D_I="SI",Datos!I17,Datos!I17+Datos!AC17)," - ")</f>
        <v>756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549</v>
      </c>
      <c r="AC17" s="240">
        <f>IF(ISNUMBER(Datos!Q17),Datos!Q17," - ")</f>
        <v>13</v>
      </c>
      <c r="AD17" s="374"/>
      <c r="AE17" s="562"/>
      <c r="AF17" s="741">
        <f>IF(ISNUMBER(IF(D_I="SI",Datos!L17,Datos!L17+Datos!AF17)),IF(D_I="SI",Datos!L17,Datos!L17+Datos!AF17)," - ")</f>
        <v>792</v>
      </c>
      <c r="AG17" s="374"/>
      <c r="AH17" s="374"/>
      <c r="AI17" s="374"/>
      <c r="AJ17" s="549"/>
      <c r="AK17" s="374"/>
      <c r="AL17" s="545"/>
      <c r="AM17" s="375">
        <f>IF(ISNUMBER(Datos!R17),Datos!R17," - ")</f>
        <v>111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330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0.95644599303135891</v>
      </c>
      <c r="BH17" s="764">
        <f>IF(ISNUMBER(((IF(D_I="SI",Datos!L17/Datos!K17,(Datos!L17+Datos!AF17)/(Datos!K17+Datos!AE17)))*11)/factor_trimestre),((IF(D_I="SI",Datos!L17/Datos!K17,(Datos!L17+Datos!AF17)/(Datos!K17+Datos!AE17)))*11)/factor_trimestre," - ")</f>
        <v>4.3278688524590168</v>
      </c>
      <c r="BI17" s="266">
        <f>IF(ISNUMBER('Resol  Asuntos'!D17/NºAsuntos!G17),'Resol  Asuntos'!D17/NºAsuntos!G17," - ")</f>
        <v>0.16757741347905283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84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0.87142857142857144</v>
      </c>
      <c r="BH18" s="764">
        <f>IF(ISNUMBER(((IF(D_I="SI",Datos!L18/Datos!K18,(Datos!L18+Datos!AF18)/(Datos!K18+Datos!AE18)))*11)/factor_trimestre),((IF(D_I="SI",Datos!L18/Datos!K18,(Datos!L18+Datos!AF18)/(Datos!K18+Datos!AE18)))*11)/factor_trimestre," - ")</f>
        <v>4.1311475409836067</v>
      </c>
      <c r="BI18" s="763">
        <f>IF(ISNUMBER('Resol  Asuntos'!D18/NºAsuntos!G18),'Resol  Asuntos'!D18/NºAsuntos!G18," - ")</f>
        <v>0.21311475409836064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767</v>
      </c>
      <c r="G23" s="1197">
        <f>SUBTOTAL(9,G16:G22)</f>
        <v>793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610</v>
      </c>
      <c r="AC23" s="1198">
        <f t="shared" si="5"/>
        <v>13</v>
      </c>
      <c r="AD23" s="1198">
        <f t="shared" si="5"/>
        <v>0</v>
      </c>
      <c r="AE23" s="1198">
        <f t="shared" si="5"/>
        <v>0</v>
      </c>
      <c r="AF23" s="1198">
        <f t="shared" si="5"/>
        <v>876</v>
      </c>
      <c r="AG23" s="1198">
        <f t="shared" si="5"/>
        <v>0</v>
      </c>
      <c r="AH23" s="1198">
        <f t="shared" si="5"/>
        <v>0</v>
      </c>
      <c r="AI23" s="1198">
        <f t="shared" si="5"/>
        <v>0</v>
      </c>
      <c r="AJ23" s="1198">
        <f t="shared" si="5"/>
        <v>0</v>
      </c>
      <c r="AK23" s="1198">
        <f t="shared" si="5"/>
        <v>0</v>
      </c>
      <c r="AL23" s="1198">
        <f t="shared" si="5"/>
        <v>0</v>
      </c>
      <c r="AM23" s="1198">
        <f t="shared" si="5"/>
        <v>111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350</v>
      </c>
      <c r="BE23" s="1198">
        <f t="shared" si="5"/>
        <v>0</v>
      </c>
      <c r="BF23" s="1198">
        <f t="shared" si="5"/>
        <v>0</v>
      </c>
      <c r="BG23" s="1198">
        <f>IF(ISNUMBER(Datos!K23/Datos!J23),Datos!K23/Datos!J23," - ")</f>
        <v>0.94720496894409933</v>
      </c>
      <c r="BH23" s="1202">
        <f>IF(ISNUMBER(((Datos!L23/Datos!K23)*11)/factor_trimestre),((Datos!L23/Datos!K23)*11)/factor_trimestre," - ")</f>
        <v>4.3081967213114751</v>
      </c>
      <c r="BI23" s="1198">
        <f>SUBTOTAL(9,BI16:BI22)</f>
        <v>0.38069216757741348</v>
      </c>
      <c r="BJ23" s="1198">
        <f>SUBTOTAL(9,BJ16:BJ22)</f>
        <v>0</v>
      </c>
      <c r="BK23" s="1198">
        <f>SUBTOTAL(9,BK16:BK22)</f>
        <v>0</v>
      </c>
      <c r="BL23" s="1198">
        <f>IF(ISNUMBER((I23-AB23+L23)/(F23)),(I23-AB23+L23)/(F23)," - ")</f>
        <v>-0.79530638852672753</v>
      </c>
      <c r="BM23" s="1205">
        <f>IF(ISNUMBER((Datos!P23-Datos!Q23)/(Datos!R23-Datos!P23+Datos!Q23)),(Datos!P23-Datos!Q23)/(Datos!R23-Datos!P23+Datos!Q23)," - ")</f>
        <v>6.7307692307692304E-2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788</v>
      </c>
      <c r="G31" s="1117">
        <f t="shared" si="18"/>
        <v>813</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616</v>
      </c>
      <c r="AC31" s="1118">
        <f t="shared" si="19"/>
        <v>72</v>
      </c>
      <c r="AD31" s="1118">
        <f t="shared" si="19"/>
        <v>0</v>
      </c>
      <c r="AE31" s="1118">
        <f t="shared" si="19"/>
        <v>0</v>
      </c>
      <c r="AF31" s="1125">
        <f t="shared" si="19"/>
        <v>902</v>
      </c>
      <c r="AG31" s="1125">
        <f t="shared" si="19"/>
        <v>0</v>
      </c>
      <c r="AH31" s="1125">
        <f t="shared" si="19"/>
        <v>49</v>
      </c>
      <c r="AI31" s="1125">
        <f t="shared" si="19"/>
        <v>0</v>
      </c>
      <c r="AJ31" s="1118">
        <f t="shared" si="19"/>
        <v>0</v>
      </c>
      <c r="AK31" s="1125">
        <f t="shared" si="19"/>
        <v>0</v>
      </c>
      <c r="AL31" s="1125">
        <f t="shared" si="19"/>
        <v>0</v>
      </c>
      <c r="AM31" s="1125">
        <f t="shared" si="19"/>
        <v>2559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v>
      </c>
      <c r="BD31" s="1117">
        <f t="shared" si="19"/>
        <v>534</v>
      </c>
      <c r="BE31" s="1117">
        <f t="shared" si="19"/>
        <v>0</v>
      </c>
      <c r="BF31" s="1127">
        <f t="shared" si="19"/>
        <v>0</v>
      </c>
      <c r="BG31" s="1223">
        <f>IF(ISNUMBER(Datos!K31/Datos!J31),Datos!K31/Datos!J31," - ")</f>
        <v>0.91831470335339638</v>
      </c>
      <c r="BH31" s="1223">
        <f>IF(ISNUMBER(((Datos!L31/Datos!K31)*11)/factor_trimestre),((Datos!L31/Datos!K31)*11)/factor_trimestre," - ")</f>
        <v>7.5421348314606753</v>
      </c>
      <c r="BI31" s="1103">
        <f>IF(ISNUMBER(Datos!J31/Datos!I31),Datos!J31/Datos!I31," - ")</f>
        <v>0.45679497250589157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-0.78172588832487311</v>
      </c>
      <c r="BM31" s="1188">
        <f>IF(ISNUMBER((Datos!P31-Datos!Q31+R31)/(Datos!R31-Datos!P31+Datos!Q31-R31)),(Datos!P31-Datos!Q31+R31)/(Datos!R31-Datos!P31+Datos!Q31-R31)," - ")</f>
        <v>3.7712895377128956E-2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390.76779123498221</v>
      </c>
      <c r="G33" s="674">
        <f>IF(ISNUMBER(STDEV(G8:G30)),STDEV(G8:G30),"-")</f>
        <v>370.77788242455631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277.02647286255274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50.284192347098504</v>
      </c>
      <c r="BD33" s="673"/>
      <c r="BE33" s="673">
        <f>IF(ISNUMBER(STDEV(BE8:BE30)),STDEV(BE8:BE30),"-")</f>
        <v>0</v>
      </c>
      <c r="BF33" s="678">
        <f>IF(ISNUMBER(STDEV(BF8:BF30)),STDEV(BF8:BF30),"-")</f>
        <v>0</v>
      </c>
      <c r="BG33" s="1052">
        <f>IF(ISNUMBER(STDEV(BG8:BG30)),STDEV(BG8:BG30),"-")</f>
        <v>0.1548177705387003</v>
      </c>
      <c r="BH33" s="1058">
        <f>IF(ISNUMBER(STDEV(BH8:BH30)),STDEV(BH8:BH30),"-")</f>
        <v>4.2796365826487461</v>
      </c>
      <c r="BI33" s="273">
        <f>IF(ISNUMBER(STDEV(BI8:BI30)),STDEV(BI8:BI30),"-")</f>
        <v>9.6704346244745332E-2</v>
      </c>
      <c r="BJ33" s="244" t="str">
        <f>IF(ISNUMBER(BL33/BM33),BL33/BM33," - ")</f>
        <v xml:space="preserve"> - </v>
      </c>
      <c r="BK33" s="709"/>
      <c r="BL33" s="681">
        <f>IF(ISNUMBER(STDEV(BL8:BL30)),STDEV(BL8:BL30),"-")</f>
        <v>0.3603360315377897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CUPhfp0018M7jAvMSZknm5QO+f0HNJz3P4momRX+PoQgyHW4ABFAO8yS2gT83BBTsqhNkcjWGFAJrMvLlvjQA==" saltValue="MVG+Gl+IQzdn3W1lfNe3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CARAVACA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26</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2442</v>
      </c>
      <c r="AF12" s="693" t="str">
        <f>IF(ISNUMBER(Datos!BV12),Datos!BV12," - ")</f>
        <v xml:space="preserve"> - </v>
      </c>
      <c r="AG12" s="552" t="str">
        <f>IF(ISNUMBER(Datos!DV12),Datos!DV12," - ")</f>
        <v xml:space="preserve"> - </v>
      </c>
      <c r="AH12" s="553"/>
      <c r="AI12" s="554"/>
      <c r="AJ12" s="552">
        <f>IF(ISNUMBER(Datos!M12),Datos!M12," - ")</f>
        <v>95</v>
      </c>
      <c r="AK12" s="693">
        <f>IF(ISNUMBER(Datos!N12),Datos!N12," - ")</f>
        <v>180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11.125506072874494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3.5623409669211195E-2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21</v>
      </c>
      <c r="G14" s="1197">
        <f>SUBTOTAL(9,G8:G13)</f>
        <v>20</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59</v>
      </c>
      <c r="AA14" s="1199">
        <f t="shared" si="3"/>
        <v>26</v>
      </c>
      <c r="AB14" s="1199">
        <f t="shared" si="3"/>
        <v>0</v>
      </c>
      <c r="AC14" s="1199">
        <f t="shared" si="3"/>
        <v>0</v>
      </c>
      <c r="AD14" s="1199">
        <f t="shared" si="3"/>
        <v>0</v>
      </c>
      <c r="AE14" s="1199">
        <f t="shared" si="3"/>
        <v>2448</v>
      </c>
      <c r="AF14" s="1211">
        <f t="shared" si="3"/>
        <v>0</v>
      </c>
      <c r="AG14" s="1211">
        <f t="shared" si="3"/>
        <v>0</v>
      </c>
      <c r="AH14" s="1211">
        <f t="shared" si="3"/>
        <v>0</v>
      </c>
      <c r="AI14" s="1211">
        <f t="shared" si="3"/>
        <v>0</v>
      </c>
      <c r="AJ14" s="1211">
        <f t="shared" si="3"/>
        <v>96</v>
      </c>
      <c r="AK14" s="1211">
        <f t="shared" si="3"/>
        <v>184</v>
      </c>
      <c r="AL14" s="1211">
        <f t="shared" si="3"/>
        <v>0</v>
      </c>
      <c r="AM14" s="1211">
        <f t="shared" si="3"/>
        <v>0</v>
      </c>
      <c r="AN14" s="1211">
        <f t="shared" si="3"/>
        <v>0</v>
      </c>
      <c r="AO14" s="1203">
        <f>IF(ISNUMBER(((NºAsuntos!I14/NºAsuntos!G14)*11)/factor_trimestre),((NºAsuntos!I14/NºAsuntos!G14)*11)/factor_trimestre," - ")</f>
        <v>11.148000000000001</v>
      </c>
      <c r="AP14" s="1213" t="str">
        <f>IF(ISNUMBER(Datos!CI14/Datos!CJ14),Datos!CI14/Datos!CJ14," - ")</f>
        <v xml:space="preserve"> - </v>
      </c>
      <c r="AQ14" s="1236">
        <f t="shared" ref="AQ14:AV14" si="4">SUBTOTAL(9,AQ9:AQ13)</f>
        <v>0</v>
      </c>
      <c r="AR14" s="1236">
        <f t="shared" si="4"/>
        <v>0.53562340966921118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767</v>
      </c>
      <c r="G17" s="552">
        <f>IF(ISNUMBER(IF(D_I="SI",Datos!I17,Datos!I17+Datos!AC17)),IF(D_I="SI",Datos!I17,Datos!I17+Datos!AC17)," - ")</f>
        <v>756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549</v>
      </c>
      <c r="Z17" s="805">
        <f>IF(ISNUMBER(Datos!Q17),Datos!Q17," - ")</f>
        <v>13</v>
      </c>
      <c r="AA17" s="551">
        <f>IF(ISNUMBER(IF(D_I="SI",Datos!L17,Datos!L17+Datos!AF17)),IF(D_I="SI",Datos!L17,Datos!L17+Datos!AF17)," - ")</f>
        <v>792</v>
      </c>
      <c r="AB17" s="549"/>
      <c r="AC17" s="549"/>
      <c r="AD17" s="563"/>
      <c r="AE17" s="563">
        <f>IF(ISNUMBER(Datos!R17),Datos!R17," - ")</f>
        <v>111</v>
      </c>
      <c r="AF17" s="693" t="str">
        <f>IF(ISNUMBER(Datos!BV17),Datos!BV17," - ")</f>
        <v xml:space="preserve"> - </v>
      </c>
      <c r="AG17" s="552"/>
      <c r="AH17" s="553"/>
      <c r="AI17" s="554"/>
      <c r="AJ17" s="552">
        <f>IF(ISNUMBER(Datos!M17),Datos!M17," - ")</f>
        <v>92</v>
      </c>
      <c r="AK17" s="693">
        <f>IF(ISNUMBER(Datos!N17),Datos!N17," - ")</f>
        <v>330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4.3278688524590168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84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4.1311475409836067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767</v>
      </c>
      <c r="G23" s="1197">
        <f>SUBTOTAL(9,G16:G22)</f>
        <v>793</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610</v>
      </c>
      <c r="Z23" s="1240">
        <f t="shared" si="6"/>
        <v>13</v>
      </c>
      <c r="AA23" s="1240">
        <f t="shared" si="6"/>
        <v>876</v>
      </c>
      <c r="AB23" s="1240">
        <f t="shared" si="6"/>
        <v>0</v>
      </c>
      <c r="AC23" s="1240">
        <f t="shared" si="6"/>
        <v>0</v>
      </c>
      <c r="AD23" s="1240">
        <f t="shared" si="6"/>
        <v>0</v>
      </c>
      <c r="AE23" s="1240">
        <f t="shared" si="6"/>
        <v>111</v>
      </c>
      <c r="AF23" s="1240">
        <f t="shared" si="6"/>
        <v>0</v>
      </c>
      <c r="AG23" s="1240">
        <f t="shared" si="6"/>
        <v>0</v>
      </c>
      <c r="AH23" s="1240">
        <f t="shared" si="6"/>
        <v>0</v>
      </c>
      <c r="AI23" s="1240">
        <f t="shared" si="6"/>
        <v>0</v>
      </c>
      <c r="AJ23" s="1240">
        <f t="shared" si="6"/>
        <v>105</v>
      </c>
      <c r="AK23" s="1240">
        <f t="shared" si="6"/>
        <v>350</v>
      </c>
      <c r="AL23" s="1240">
        <f t="shared" si="6"/>
        <v>0</v>
      </c>
      <c r="AM23" s="1240">
        <f t="shared" si="6"/>
        <v>0</v>
      </c>
      <c r="AN23" s="1240">
        <f t="shared" si="6"/>
        <v>0</v>
      </c>
      <c r="AO23" s="1242">
        <f>IF(ISNUMBER(((NºAsuntos!I23/NºAsuntos!G23)*11)/factor_trimestre),((NºAsuntos!I23/NºAsuntos!G23)*11)/factor_trimestre," - ")</f>
        <v>4.3081967213114751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788</v>
      </c>
      <c r="G31" s="1117">
        <f t="shared" si="12"/>
        <v>813</v>
      </c>
      <c r="H31" s="1118">
        <f t="shared" si="12"/>
        <v>0</v>
      </c>
      <c r="I31" s="1117">
        <f t="shared" si="12"/>
        <v>0</v>
      </c>
      <c r="J31" s="1119">
        <f t="shared" si="12"/>
        <v>0</v>
      </c>
      <c r="K31" s="1117">
        <f t="shared" si="12"/>
        <v>0</v>
      </c>
      <c r="L31" s="1120">
        <f t="shared" si="12"/>
        <v>0</v>
      </c>
      <c r="M31" s="1117">
        <f t="shared" si="12"/>
        <v>0</v>
      </c>
      <c r="N31" s="1118">
        <f t="shared" si="12"/>
        <v>165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616</v>
      </c>
      <c r="Z31" s="1124">
        <f t="shared" si="13"/>
        <v>72</v>
      </c>
      <c r="AA31" s="1125">
        <f t="shared" si="13"/>
        <v>902</v>
      </c>
      <c r="AB31" s="1125">
        <f t="shared" si="13"/>
        <v>0</v>
      </c>
      <c r="AC31" s="1125">
        <f t="shared" si="13"/>
        <v>0</v>
      </c>
      <c r="AD31" s="1126">
        <f t="shared" si="13"/>
        <v>0</v>
      </c>
      <c r="AE31" s="1126">
        <f t="shared" si="13"/>
        <v>2559</v>
      </c>
      <c r="AF31" s="1127">
        <f t="shared" si="13"/>
        <v>0</v>
      </c>
      <c r="AG31" s="1128">
        <f t="shared" si="13"/>
        <v>0</v>
      </c>
      <c r="AH31" s="1129">
        <f t="shared" si="13"/>
        <v>0</v>
      </c>
      <c r="AI31" s="1127">
        <f t="shared" si="13"/>
        <v>0</v>
      </c>
      <c r="AJ31" s="1117">
        <f t="shared" si="13"/>
        <v>201</v>
      </c>
      <c r="AK31" s="1117">
        <f t="shared" si="13"/>
        <v>534</v>
      </c>
      <c r="AL31" s="1117">
        <f t="shared" si="13"/>
        <v>0</v>
      </c>
      <c r="AM31" s="1130">
        <f t="shared" si="13"/>
        <v>0</v>
      </c>
      <c r="AN31" s="1120">
        <f>IF(ISNUMBER(Datos!K31/Datos!J31),Datos!K31/Datos!J31," - ")</f>
        <v>0.91831470335339638</v>
      </c>
      <c r="AO31" s="1120">
        <f>IF(ISNUMBER(FIND("06",Criterios!A8,1)),(IF(ISNUMBER(((Datos!R31/Datos!Q31)*11)/factor_trimestre),((Datos!R31/Datos!Q31)*11)/factor_trimestre," - ")),(IF(ISNUMBER(((Datos!L31/Datos!K31)*11)/factor_trimestre),((Datos!L31/Datos!K31)*11)/factor_trimestre," - ")))</f>
        <v>7.5421348314606753</v>
      </c>
      <c r="AP31" s="1131" t="str">
        <f>IF(ISNUMBER(Datos!CI31/Datos!CJ31),Datos!CI31/Datos!CJ31," - ")</f>
        <v xml:space="preserve"> - </v>
      </c>
      <c r="AQ31" s="1131">
        <f>IF(OR(ISNUMBER(FIND("01",Criterios!A8,1)),ISNUMBER(FIND("02",Criterios!A8,1)),ISNUMBER(FIND("03",Criterios!A8,1)),ISNUMBER(FIND("04",Criterios!A8,1))),(J31-Y31+K31)/(F31-K31),(I31-Y31+K31)/(F31-K31))</f>
        <v>-0.78172588832487311</v>
      </c>
      <c r="AR31" s="1131">
        <f>IF(ISNUMBER((Datos!P31-Datos!Q31+O31)/(Datos!R31-Datos!P31+Datos!Q31-O31)),(Datos!P31-Datos!Q31+O31)/(Datos!R31-Datos!P31+Datos!Q31-O31)," - ")</f>
        <v>3.7712895377128956E-2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390.76779123498221</v>
      </c>
      <c r="G33" s="674">
        <f>IF(ISNUMBER(STDEV(G8:G30)),STDEV(G8:G30),"-")</f>
        <v>370.77788242455631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50.284192347098504</v>
      </c>
      <c r="AK33" s="276"/>
      <c r="AL33" s="276">
        <f>IF(ISNUMBER(STDEV(AL8:AL30)),STDEV(AL8:AL30),"-")</f>
        <v>0</v>
      </c>
      <c r="AM33" s="278">
        <f>IF(ISNUMBER(STDEV(AM8:AM30)),STDEV(AM8:AM30),"-")</f>
        <v>0</v>
      </c>
      <c r="AN33" s="660">
        <f>IF(ISNUMBER(STDEV(AN8:AN30)),STDEV(AN8:AN30),"-")</f>
        <v>0</v>
      </c>
      <c r="AO33" s="661">
        <f>IF(ISNUMBER(STDEV(AO8:AO30)),STDEV(AO8:AO30),"-")</f>
        <v>4.1655826442995538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KTh3LAbwnasJ5E/Kgjy2hx6LEetqQvU6IXd+LRg9WAPmpFHRtHeea1FsP/AMyBtCxgCeigVnyVV8iLYi/bURA==" saltValue="ahjuYGjB6aTvm35cgFQk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pl7zOyVv3cJSV88qecyYyyvGeg7+H0varCLTG1lUC8hHxl1Yc0oYCmk4vo9XD0T73os1VlF585Ak8cw1cHw4Q==" saltValue="GtT/1AHIgsNIYcczKf1j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0BOwgsyEJ0efLx3pA/z/Tp41yXCPqkjSwQBM8keJBLM6NbEmCvoVE7AoYPjtMWgM0aGqIiJK/qjoOFb5l0MaA==" saltValue="MzOCFe8ZR1x0wvoXxGpe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CARAVACA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0.13576450198781712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OPYPRhKu02GtzBcR5m6IfQ4BdTkLuTEZaq9wEhPx18+SG39QX2tnUvmI+2WdNp/MLWVIAwp2iEdVIM91dJjg==" saltValue="To7FPrOU8ypCAn5dXvN4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s/RuP62T+VFhWEdtCov1zov/HydW0N1qvL4P9x+bP1jf1ysyKzcLs95Q8PqcPs16OkUD0dBU9dImWLyNyiNzw==" saltValue="qmkwRy1OS+328SQfR2Su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CARAVACA DE LA CRUZ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11</v>
      </c>
      <c r="F10" s="452">
        <f>IF(ISNUMBER(E10/B10),E10/B10," - ")</f>
        <v>11</v>
      </c>
      <c r="G10" s="451">
        <f>IF(ISNUMBER(Datos!K10),Datos!K10," - ")</f>
        <v>6</v>
      </c>
      <c r="H10" s="452">
        <f>IF(ISNUMBER(G10/B10),G10/B10," - ")</f>
        <v>6</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1793</v>
      </c>
      <c r="D12" s="452">
        <f>IF(ISNUMBER(C12/Datos!BH12),C12/Datos!BH12," - ")</f>
        <v>597.66666666666663</v>
      </c>
      <c r="E12" s="451">
        <f>IF(ISNUMBER(IF(J_V="SI",Datos!J12,Datos!J12+Datos!Z12)),IF(J_V="SI",Datos!J12,Datos!J12+Datos!Z12)," - ")</f>
        <v>537</v>
      </c>
      <c r="F12" s="452">
        <f>IF(ISNUMBER(E12/B12),E12/B12," - ")</f>
        <v>179</v>
      </c>
      <c r="G12" s="451">
        <f>IF(ISNUMBER(IF(J_V="SI",Datos!K12,Datos!K12+Datos!AA12)),IF(J_V="SI",Datos!K12,Datos!K12+Datos!AA12)," - ")</f>
        <v>494</v>
      </c>
      <c r="H12" s="452">
        <f>IF(ISNUMBER(G12/B12),G12/B12," - ")</f>
        <v>164.66666666666666</v>
      </c>
      <c r="I12" s="451">
        <f>IF(ISNUMBER(IF(J_V="SI",Datos!L12,Datos!L12+Datos!AB12)),IF(J_V="SI",Datos!L12,Datos!L12+Datos!AB12)," - ")</f>
        <v>1832</v>
      </c>
      <c r="J12" s="452">
        <f>IF(ISNUMBER(I12/B12),I12/B12," - ")</f>
        <v>610.66666666666663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1813</v>
      </c>
      <c r="D14" s="1147" t="str">
        <f>IF(ISNUMBER(C14/Datos!BI14),C14/Datos!BI14," - ")</f>
        <v xml:space="preserve"> - </v>
      </c>
      <c r="E14" s="1146">
        <f>SUBTOTAL(9,E8:E13)</f>
        <v>548</v>
      </c>
      <c r="F14" s="1147">
        <f>IF(ISNUMBER(E14/B14),E14/B14," - ")</f>
        <v>182.66666666666666</v>
      </c>
      <c r="G14" s="1146">
        <f>SUBTOTAL(9,G8:G13)</f>
        <v>500</v>
      </c>
      <c r="H14" s="1147">
        <f>IF(ISNUMBER(G14/B14),G14/B14," - ")</f>
        <v>166.66666666666666</v>
      </c>
      <c r="I14" s="1146">
        <f>SUBTOTAL(9,I8:I13)</f>
        <v>1858</v>
      </c>
      <c r="J14" s="1147">
        <f>IF(ISNUMBER(I14/B14),I14/B14," - ")</f>
        <v>619.33333333333337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756</v>
      </c>
      <c r="D17" s="452">
        <f>IF(ISNUMBER(C17/Datos!BH17),C17/Datos!BH17," - ")</f>
        <v>252</v>
      </c>
      <c r="E17" s="451">
        <f>IF(ISNUMBER(IF(D_I="SI",Datos!J17,Datos!J17+Datos!AD17)),IF(D_I="SI",Datos!J17,Datos!J17+Datos!AD17)," - ")</f>
        <v>574</v>
      </c>
      <c r="F17" s="452">
        <f>IF(ISNUMBER(E17/B17),E17/B17," - ")</f>
        <v>191.33333333333334</v>
      </c>
      <c r="G17" s="451">
        <f>IF(ISNUMBER(IF(D_I="SI",Datos!K17,Datos!K17+Datos!AE17)),IF(D_I="SI",Datos!K17,Datos!K17+Datos!AE17)," - ")</f>
        <v>549</v>
      </c>
      <c r="H17" s="452">
        <f>IF(ISNUMBER(G17/B17),G17/B17," - ")</f>
        <v>183</v>
      </c>
      <c r="I17" s="451">
        <f>IF(ISNUMBER(IF(D_I="SI",Datos!L17,Datos!L17+Datos!AF17)),IF(D_I="SI",Datos!L17,Datos!L17+Datos!AF17)," - ")</f>
        <v>792</v>
      </c>
      <c r="J17" s="452">
        <f>IF(ISNUMBER(I17/B17),I17/B17," - ")</f>
        <v>264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70</v>
      </c>
      <c r="F18" s="452">
        <f>IF(ISNUMBER(E18/B18),E18/B18," - ")</f>
        <v>70</v>
      </c>
      <c r="G18" s="451">
        <f>IF(ISNUMBER(IF(D_I="SI",Datos!K18,Datos!K18+Datos!AE18)),IF(D_I="SI",Datos!K18,Datos!K18+Datos!AE18)," - ")</f>
        <v>61</v>
      </c>
      <c r="H18" s="452">
        <f>IF(ISNUMBER(G18/B18),G18/B18," - ")</f>
        <v>61</v>
      </c>
      <c r="I18" s="451">
        <f>IF(ISNUMBER(IF(D_I="SI",Datos!L18,Datos!L18+Datos!AF18)),IF(D_I="SI",Datos!L18,Datos!L18+Datos!AF18)," - ")</f>
        <v>84</v>
      </c>
      <c r="J18" s="452">
        <f>IF(ISNUMBER(I18/B18),I18/B18," - ")</f>
        <v>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793</v>
      </c>
      <c r="D23" s="1147" t="str">
        <f>IF(ISNUMBER(C23/Datos!BI23),C23/Datos!BI23," - ")</f>
        <v xml:space="preserve"> - </v>
      </c>
      <c r="E23" s="1146">
        <f>SUBTOTAL(9,E15:E22)</f>
        <v>644</v>
      </c>
      <c r="F23" s="1147">
        <f>IF(ISNUMBER(E23/B23),E23/B23," - ")</f>
        <v>214.66666666666666</v>
      </c>
      <c r="G23" s="1146">
        <f>SUBTOTAL(9,G15:G22)</f>
        <v>610</v>
      </c>
      <c r="H23" s="1147">
        <f>IF(ISNUMBER(G23/B23),G23/B23," - ")</f>
        <v>203.33333333333334</v>
      </c>
      <c r="I23" s="1146">
        <f>SUBTOTAL(9,I15:I22)</f>
        <v>876</v>
      </c>
      <c r="J23" s="1147">
        <f>IF(ISNUMBER(I23/B23),I23/B23," - ")</f>
        <v>292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2606</v>
      </c>
      <c r="D31" s="1085" t="str">
        <f>IF(ISNUMBER(C31/Datos!BI31),C31/Datos!BI31," - ")</f>
        <v xml:space="preserve"> - </v>
      </c>
      <c r="E31" s="1084">
        <f>SUBTOTAL(9,E9:E30)</f>
        <v>1192</v>
      </c>
      <c r="F31" s="1085">
        <f>IF(ISNUMBER(E31/B31),E31/B31," - ")</f>
        <v>397.33333333333331</v>
      </c>
      <c r="G31" s="1084">
        <f>SUBTOTAL(9,G9:G30)</f>
        <v>1110</v>
      </c>
      <c r="H31" s="1085">
        <f>IF(ISNUMBER(G31/B31),G31/B31," - ")</f>
        <v>370</v>
      </c>
      <c r="I31" s="1084">
        <f>SUBTOTAL(9,I9:I30)</f>
        <v>2734</v>
      </c>
      <c r="J31" s="1085">
        <f>IF(ISNUMBER(I31/B31),I31/B31," - ")</f>
        <v>911.33333333333337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oyk9ixXnnBVPooJCJBjxLdiP3MH+tDNJ/f22BJ9M4eD0pIwvP2ncJ2QneZao1tZjQXAdXFibkDAAz6/Cvb66Q==" saltValue="X8CFN4oIFTWuTL5HaaB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CARAVACA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v>
      </c>
      <c r="AM12" s="914">
        <f>IF(ISNUMBER(Datos!N12+DatosP!N17),Datos!N12+DatosP!N17," - ")</f>
        <v>180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11.125506072874494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3.5623409669211195E-2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21</v>
      </c>
      <c r="G14" s="1256">
        <f t="shared" si="0"/>
        <v>20</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59</v>
      </c>
      <c r="AE14" s="1257">
        <f t="shared" si="1"/>
        <v>0</v>
      </c>
      <c r="AF14" s="1257">
        <f t="shared" si="1"/>
        <v>26</v>
      </c>
      <c r="AG14" s="1257">
        <f t="shared" si="1"/>
        <v>0</v>
      </c>
      <c r="AH14" s="1257">
        <f t="shared" si="1"/>
        <v>2442</v>
      </c>
      <c r="AI14" s="1257">
        <f t="shared" si="1"/>
        <v>0</v>
      </c>
      <c r="AJ14" s="1257">
        <f t="shared" si="1"/>
        <v>0</v>
      </c>
      <c r="AK14" s="1257">
        <f t="shared" si="1"/>
        <v>0</v>
      </c>
      <c r="AL14" s="1257">
        <f t="shared" si="1"/>
        <v>96</v>
      </c>
      <c r="AM14" s="1257">
        <f t="shared" si="1"/>
        <v>184</v>
      </c>
      <c r="AN14" s="1257">
        <f t="shared" si="1"/>
        <v>0</v>
      </c>
      <c r="AO14" s="1257">
        <f t="shared" si="1"/>
        <v>0</v>
      </c>
      <c r="AP14" s="1262">
        <f>IF(ISNUMBER(((Datos!L14/Datos!K14)*11)/factor_trimestre),((Datos!L14/Datos!K14)*11)/factor_trimestre," - ")</f>
        <v>11.84934497816594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3.5623409669211195E-2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4.3081967213114751</v>
      </c>
      <c r="AQ23" s="1262">
        <f>IF(ISNUMBER(((Datos!M23/Datos!L23)*11)/factor_trimestre),((Datos!M23/Datos!L23)*11)/factor_trimestre," - ")</f>
        <v>0.3595890410958904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6.7307692307692304E-2</v>
      </c>
      <c r="AW23" s="1265">
        <f>IF(ISNUMBER((Datos!Q23-Datos!R23)/(Datos!S23-Datos!Q23+Datos!R23)),(Datos!Q23-Datos!R23)/(Datos!S23-Datos!Q23+Datos!R23)," - ")</f>
        <v>-0.11893203883495146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21</v>
      </c>
      <c r="G31" s="1278">
        <f t="shared" si="8"/>
        <v>20</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59</v>
      </c>
      <c r="AE31" s="1284">
        <f t="shared" si="9"/>
        <v>0</v>
      </c>
      <c r="AF31" s="1285">
        <f t="shared" si="9"/>
        <v>26</v>
      </c>
      <c r="AG31" s="1285">
        <f t="shared" si="9"/>
        <v>0</v>
      </c>
      <c r="AH31" s="1285">
        <f t="shared" si="9"/>
        <v>2442</v>
      </c>
      <c r="AI31" s="1285">
        <f t="shared" si="9"/>
        <v>0</v>
      </c>
      <c r="AJ31" s="1286">
        <f t="shared" si="9"/>
        <v>0</v>
      </c>
      <c r="AK31" s="1286">
        <f t="shared" si="9"/>
        <v>0</v>
      </c>
      <c r="AL31" s="1278">
        <f t="shared" si="9"/>
        <v>96</v>
      </c>
      <c r="AM31" s="1278">
        <f t="shared" si="9"/>
        <v>184</v>
      </c>
      <c r="AN31" s="1278">
        <f t="shared" si="9"/>
        <v>0</v>
      </c>
      <c r="AO31" s="1278">
        <f t="shared" si="9"/>
        <v>0</v>
      </c>
      <c r="AP31" s="1278">
        <f>IF(ISNUMBER(((Datos!L31/Datos!K31)*11)/factor_trimestre),((Datos!L31/Datos!K31)*11)/factor_trimestre," - ")</f>
        <v>7.5421348314606753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3.7712895377128956E-2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11.502173707608488</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49.189429758841484</v>
      </c>
      <c r="AM33" s="1006"/>
      <c r="AN33" s="1006">
        <f>IF(ISNUMBER(STDEV(AN8:AN30)),STDEV(AN8:AN30),"-")</f>
        <v>0</v>
      </c>
      <c r="AO33" s="1012">
        <f>IF(ISNUMBER(STDEV(AO8:AO30)),STDEV(AO8:AO30),"-")</f>
        <v>0</v>
      </c>
      <c r="AP33" s="1065">
        <f>IF(ISNUMBER(STDEV(AP8:AP30)),STDEV(AP8:AP30),"-")</f>
        <v>3.9184791404011188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lMZhaIRk3vlid1dMaqoWchUURyoKr0JdfhRG4coXePeur6mNBDtMqz2mj4YA6h5jrrQNDdnItZxIiozmJYLtg==" saltValue="aSWMxYS4xkGBCE+Mw/n6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CARAVACA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MKjbIfJyGnjLoQYEI3cxm2ld4og6oPoUzmO/BPZur1rirJ0LR32E6Zy5D6B10pe9TPA6nWDv1AcFxhbtuhD/w==" saltValue="VXrvwI8b3hPTomvhRGQL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CARAVACA DE LA CRUZ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95</v>
      </c>
      <c r="E12" s="452">
        <f t="shared" si="0"/>
        <v>31.666666666666668</v>
      </c>
      <c r="F12" s="451">
        <f>IF(ISNUMBER(Datos!N12),Datos!N12," - ")</f>
        <v>180</v>
      </c>
      <c r="G12" s="452">
        <f t="shared" si="1"/>
        <v>60</v>
      </c>
      <c r="H12" s="451">
        <f>IF(ISNUMBER(Datos!O12),Datos!O12," - ")</f>
        <v>263</v>
      </c>
      <c r="I12" s="452">
        <f t="shared" si="2"/>
        <v>87.666666666666671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96</v>
      </c>
      <c r="E14" s="1147">
        <f t="shared" si="0"/>
        <v>24</v>
      </c>
      <c r="F14" s="1146">
        <f>SUBTOTAL(9,F9:F13)</f>
        <v>184</v>
      </c>
      <c r="G14" s="1147">
        <f t="shared" si="1"/>
        <v>46</v>
      </c>
      <c r="H14" s="1146">
        <f>SUBTOTAL(9,H9:H13)</f>
        <v>263</v>
      </c>
      <c r="I14" s="1147">
        <f>IF(ISNUMBER(H14/B14),H14/B14," - ")</f>
        <v>65.75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92</v>
      </c>
      <c r="E17" s="452">
        <f t="shared" si="3"/>
        <v>30.666666666666668</v>
      </c>
      <c r="F17" s="451">
        <f>IF(ISNUMBER(Datos!N17),Datos!N17," - ")</f>
        <v>330</v>
      </c>
      <c r="G17" s="452">
        <f t="shared" si="4"/>
        <v>110</v>
      </c>
      <c r="H17" s="451">
        <f>IF(ISNUMBER(Datos!O17),Datos!O17," - ")</f>
        <v>13</v>
      </c>
      <c r="I17" s="452">
        <f t="shared" si="5"/>
        <v>4.333333333333333</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105</v>
      </c>
      <c r="E23" s="1147">
        <f t="shared" si="3"/>
        <v>26.25</v>
      </c>
      <c r="F23" s="1146">
        <f>SUBTOTAL(9,F16:F22)</f>
        <v>350</v>
      </c>
      <c r="G23" s="1147">
        <f t="shared" si="4"/>
        <v>87.5</v>
      </c>
      <c r="H23" s="1146">
        <f>SUBTOTAL(9,H16:H22)</f>
        <v>13</v>
      </c>
      <c r="I23" s="1147">
        <f>IF(ISNUMBER(H23/B23),H23/B23," - ")</f>
        <v>3.25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201</v>
      </c>
      <c r="E31" s="1085">
        <f>IF(ISNUMBER(D31/B31),D31/B31," - ")</f>
        <v>67</v>
      </c>
      <c r="F31" s="1084">
        <f>SUBTOTAL(9,F8:F30)</f>
        <v>534</v>
      </c>
      <c r="G31" s="1085">
        <f>IF(ISNUMBER(F31/B31),F31/B31," - ")</f>
        <v>178</v>
      </c>
      <c r="H31" s="1084">
        <f>SUBTOTAL(9,H8:H30)</f>
        <v>276</v>
      </c>
      <c r="I31" s="1085">
        <f>IF(ISNUMBER(H31/B31),H31/B31," - ")</f>
        <v>92</v>
      </c>
    </row>
    <row r="34" spans="1:1">
      <c r="A34" s="439" t="str">
        <f>Criterios!A4</f>
        <v>Fecha Informe: 06 may. 2023</v>
      </c>
    </row>
    <row r="39" spans="1:1">
      <c r="A39" s="462"/>
    </row>
  </sheetData>
  <sheetProtection algorithmName="SHA-512" hashValue="TO+//jUBxWGuvR3MgtRkYr2H2Hx9GUg4lP9nhHdmLepRtkjlcwrwSWQW0duLpUNdOtaWZLETSsUij30Nzemwow==" saltValue="mhZrWazuiH5OA7Iwby9u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CARAVACA DE LA CRUZ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143</v>
      </c>
      <c r="C12" s="489">
        <f>IF(ISNUMBER(Datos!Q12),Datos!Q12," - ")</f>
        <v>59</v>
      </c>
      <c r="D12" s="456">
        <f>IF(ISNUMBER(Datos!R12),Datos!R12," - ")</f>
        <v>2442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59</v>
      </c>
      <c r="D14" s="1148">
        <f>SUBTOTAL(9,D9:D13)</f>
        <v>2448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13</v>
      </c>
      <c r="D17" s="456">
        <f>IF(ISNUMBER(Datos!R17),Datos!R17," - ")</f>
        <v>111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13</v>
      </c>
      <c r="D23" s="1148">
        <f>SUBTOTAL(9,D16:D22)</f>
        <v>111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165</v>
      </c>
      <c r="C31" s="1089">
        <f>SUBTOTAL(9,C8:C30)</f>
        <v>72</v>
      </c>
      <c r="D31" s="1090">
        <f>SUBTOTAL(9,D8:D30)</f>
        <v>2559</v>
      </c>
    </row>
    <row r="32" spans="1:4" ht="7.5" customHeight="1"/>
    <row r="33" spans="1:1" ht="6" customHeight="1"/>
    <row r="34" spans="1:1">
      <c r="A34" s="439" t="str">
        <f>Criterios!A4</f>
        <v>Fecha Informe: 06 may. 2023</v>
      </c>
    </row>
    <row r="39" spans="1:1">
      <c r="A39" s="462"/>
    </row>
  </sheetData>
  <sheetProtection algorithmName="SHA-512" hashValue="HE5HLcS7d/6uoAPcWQdUKzTCXRpcqg5Un7//CppmmqB/rvC4RSHOHZR+ts1ZIXLhNrzHBBl18R2ijiklQAPMMA==" saltValue="WDc3RodvKTWhIik+vdxd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CARAVACA DE LA CRUZ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-0.15384615384615385</v>
      </c>
      <c r="D10" s="515">
        <f>IF(ISNUMBER((Datos!K10-Datos!U10)/Datos!U10),(Datos!K10-Datos!U10)/Datos!U10," - ")</f>
        <v>0.5</v>
      </c>
      <c r="E10" s="515">
        <f>IF(ISNUMBER((Datos!L10-Datos!V10)/Datos!V10),(Datos!L10-Datos!V10)/Datos!V10," - ")</f>
        <v>8.3333333333333329E-2</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0.77272727272727249</v>
      </c>
      <c r="I10" s="515">
        <f>IF(ISNUMBER(((NºAsuntos!I10/NºAsuntos!G10)-Datos!BE10)/Datos!BE10),((NºAsuntos!I10/NºAsuntos!G10)-Datos!BE10)/Datos!BE10," - ")</f>
        <v>-0.27777777777777785</v>
      </c>
      <c r="J10" s="521">
        <f>IF(ISNUMBER((('Resol  Asuntos'!D10/NºAsuntos!G10)-Datos!BF10)/Datos!BF10),(('Resol  Asuntos'!D10/NºAsuntos!G10)-Datos!BF10)/Datos!BF10," - ")</f>
        <v>-0.83333333333333337</v>
      </c>
      <c r="K10" s="522">
        <f>IF(ISNUMBER((((NºAsuntos!C10+NºAsuntos!E10)/NºAsuntos!G10)-Datos!BG10)/Datos!BG10),(((NºAsuntos!C10+NºAsuntos!E10)/NºAsuntos!G10)-Datos!BG10)/Datos!BG10," - ")</f>
        <v>-0.26190476190476186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0.12343358395989974</v>
      </c>
      <c r="C12" s="515">
        <f>IF(ISNUMBER(
   IF(J_V="SI",(Datos!J12-Datos!T12)/Datos!T12,(Datos!J12+Datos!Z12-(Datos!T12+Datos!AH12))/(Datos!T12+Datos!AH12))
     ),IF(J_V="SI",(Datos!J12-Datos!T12)/Datos!T12,(Datos!J12+Datos!Z12-(Datos!T12+Datos!AH12))/(Datos!T12+Datos!AH12))," - ")</f>
        <v>0.11642411642411643</v>
      </c>
      <c r="D12" s="515">
        <f>IF(ISNUMBER(
   IF(J_V="SI",(Datos!K12-Datos!U12)/Datos!U12,(Datos!K12+Datos!AA12-(Datos!U12+Datos!AI12))/(Datos!U12+Datos!AI12))
     ),IF(J_V="SI",(Datos!K12-Datos!U12)/Datos!U12,(Datos!K12+Datos!AA12-(Datos!U12+Datos!AI12))/(Datos!U12+Datos!AI12))," - ")</f>
        <v>-9.6892138939670927E-2</v>
      </c>
      <c r="E12" s="515">
        <f>IF(ISNUMBER(
   IF(J_V="SI",(Datos!L12-Datos!V12)/Datos!V12,(Datos!L12+Datos!AB12-(Datos!V12+Datos!AJ12))/(Datos!V12+Datos!AJ12))
     ),IF(J_V="SI",(Datos!L12-Datos!V12)/Datos!V12,(Datos!L12+Datos!AB12-(Datos!V12+Datos!AJ12))/(Datos!V12+Datos!AJ12))," - ")</f>
        <v>0.20924092409240924</v>
      </c>
      <c r="F12" s="515">
        <f>IF(ISNUMBER((Datos!M12-Datos!W12)/Datos!W12),(Datos!M12-Datos!W12)/Datos!W12," - ")</f>
        <v>-0.19491525423728814</v>
      </c>
      <c r="G12" s="516">
        <f>IF(ISNUMBER((Datos!N12-Datos!X12)/Datos!X12),(Datos!N12-Datos!X12)/Datos!X12," - ")</f>
        <v>-0.1891891891891892</v>
      </c>
      <c r="H12" s="514">
        <f>IF(ISNUMBER(((NºAsuntos!G12/NºAsuntos!E12)-Datos!BD12)/Datos!BD12),((NºAsuntos!G12/NºAsuntos!E12)-Datos!BD12)/Datos!BD12," - ")</f>
        <v>-0.19107098478581316</v>
      </c>
      <c r="I12" s="515">
        <f>IF(ISNUMBER(((NºAsuntos!I12/NºAsuntos!G12)-Datos!BE12)/Datos!BE12),((NºAsuntos!I12/NºAsuntos!G12)-Datos!BE12)/Datos!BE12," - ")</f>
        <v>0.33897729853957043</v>
      </c>
      <c r="J12" s="521">
        <f>IF(ISNUMBER((('Resol  Asuntos'!D12/NºAsuntos!G12)-Datos!BF12)/Datos!BF12),(('Resol  Asuntos'!D12/NºAsuntos!G12)-Datos!BF12)/Datos!BF12," - ")</f>
        <v>-0.52616077616077617</v>
      </c>
      <c r="K12" s="522">
        <f>IF(ISNUMBER((((NºAsuntos!C12+NºAsuntos!E12)/NºAsuntos!G12)-Datos!BG12)/Datos!BG12),(((NºAsuntos!C12+NºAsuntos!E12)/NºAsuntos!G12)-Datos!BG12)/Datos!BG12," - ")</f>
        <v>0.24216646946799242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0.12538795779019243</v>
      </c>
      <c r="C14" s="1152">
        <f>IF(ISNUMBER(
   IF(J_V="SI",(Datos!J14-Datos!T14)/Datos!T14,(Datos!J14+Datos!Z14-(Datos!T14+Datos!AH14))/(Datos!T14+Datos!AH14))
     ),IF(J_V="SI",(Datos!J14-Datos!T14)/Datos!T14,(Datos!J14+Datos!Z14-(Datos!T14+Datos!AH14))/(Datos!T14+Datos!AH14))," - ")</f>
        <v>0.10931174089068826</v>
      </c>
      <c r="D14" s="1152">
        <f>IF(ISNUMBER(
   IF(J_V="SI",(Datos!K14-Datos!U14)/Datos!U14,(Datos!K14+Datos!AA14-(Datos!U14+Datos!AI14))/(Datos!U14+Datos!AI14))
     ),IF(J_V="SI",(Datos!K14-Datos!U14)/Datos!U14,(Datos!K14+Datos!AA14-(Datos!U14+Datos!AI14))/(Datos!U14+Datos!AI14))," - ")</f>
        <v>-9.2558983666061703E-2</v>
      </c>
      <c r="E14" s="1152">
        <f>IF(ISNUMBER(
   IF(J_V="SI",(Datos!L14-Datos!V14)/Datos!V14,(Datos!L14+Datos!AB14-(Datos!V14+Datos!AJ14))/(Datos!V14+Datos!AJ14))
     ),IF(J_V="SI",(Datos!L14-Datos!V14)/Datos!V14,(Datos!L14+Datos!AB14-(Datos!V14+Datos!AJ14))/(Datos!V14+Datos!AJ14))," - ")</f>
        <v>0.20727745289148797</v>
      </c>
      <c r="F14" s="1153">
        <f>IF(ISNUMBER((Datos!M14-Datos!W14)/Datos!W14),(Datos!M14-Datos!W14)/Datos!W14," - ")</f>
        <v>-0.21311475409836064</v>
      </c>
      <c r="G14" s="1154">
        <f>IF(ISNUMBER((Datos!N14-Datos!X14)/Datos!X14),(Datos!N14-Datos!X14)/Datos!X14," - ")</f>
        <v>-0.17117117117117117</v>
      </c>
      <c r="H14" s="1154">
        <f>IF(ISNUMBER(((NºAsuntos!G14/NºAsuntos!E14)-Datos!BD14)/Datos!BD14),((NºAsuntos!G14/NºAsuntos!E14)-Datos!BD14)/Datos!BD14," - ")</f>
        <v>-0.18197835388874908</v>
      </c>
      <c r="I14" s="1154">
        <f>IF(ISNUMBER(((NºAsuntos!I14/NºAsuntos!G14)-Datos!BE14)/Datos!BE14),((NºAsuntos!I14/NºAsuntos!G14)-Datos!BE14)/Datos!BE14," - ")</f>
        <v>0.3304197530864198</v>
      </c>
      <c r="J14" s="1154">
        <f>IF(ISNUMBER((('Resol  Asuntos'!D14/NºAsuntos!G14)-Datos!BF14)/Datos!BF14),(('Resol  Asuntos'!D14/NºAsuntos!G14)-Datos!BF14)/Datos!BF14," - ")</f>
        <v>-0.53189380530973451</v>
      </c>
      <c r="K14" s="1154">
        <f>IF(ISNUMBER((((NºAsuntos!C14+NºAsuntos!E14)/NºAsuntos!G14)-Datos!BG14)/Datos!BG14),(((NºAsuntos!C14+NºAsuntos!E14)/NºAsuntos!G14)-Datos!BG14)/Datos!BG14," - ")</f>
        <v>0.23601995249406191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0.1134020618556701</v>
      </c>
      <c r="C17" s="515">
        <f>IF(ISNUMBER(
   IF(D_I="SI",(Datos!J17-Datos!T17)/Datos!T17,(Datos!J17+Datos!AD17-(Datos!T17+Datos!AL17))/(Datos!T17+Datos!AL17))
     ),IF(D_I="SI",(Datos!J17-Datos!T17)/Datos!T17,(Datos!J17+Datos!AD17-(Datos!T17+Datos!AL17))/(Datos!T17+Datos!AL17))," - ")</f>
        <v>3.4234234234234232E-2</v>
      </c>
      <c r="D17" s="515">
        <f>IF(ISNUMBER(
   IF(D_I="SI",(Datos!K17-Datos!U17)/Datos!U17,(Datos!K17+Datos!AE17-(Datos!U17+Datos!AM17))/(Datos!U17+Datos!AM17))
     ),IF(D_I="SI",(Datos!K17-Datos!U17)/Datos!U17,(Datos!K17+Datos!AE17-(Datos!U17+Datos!AM17))/(Datos!U17+Datos!AM17))," - ")</f>
        <v>-2.3131672597864767E-2</v>
      </c>
      <c r="E17" s="515">
        <f>IF(ISNUMBER(
   IF(D_I="SI",(Datos!L17-Datos!V17)/Datos!V17,(Datos!L17+Datos!AF17-(Datos!V17+Datos!AN17))/(Datos!V17+Datos!AN17))
     ),IF(D_I="SI",(Datos!L17-Datos!V17)/Datos!V17,(Datos!L17+Datos!AF17-(Datos!V17+Datos!AN17))/(Datos!V17+Datos!AN17))," - ")</f>
        <v>0.13142857142857142</v>
      </c>
      <c r="F17" s="515">
        <f>IF(ISNUMBER((Datos!M17-Datos!W17)/Datos!W17),(Datos!M17-Datos!W17)/Datos!W17," - ")</f>
        <v>1.098901098901099E-2</v>
      </c>
      <c r="G17" s="516">
        <f>IF(ISNUMBER((Datos!N17-Datos!X17)/Datos!X17),(Datos!N17-Datos!X17)/Datos!X17," - ")</f>
        <v>8.1967213114754092E-2</v>
      </c>
      <c r="H17" s="514">
        <f>IF(ISNUMBER(((NºAsuntos!G17/NºAsuntos!E17)-Datos!BD17)/Datos!BD17),((NºAsuntos!G17/NºAsuntos!E17)-Datos!BD17)/Datos!BD17," - ")</f>
        <v>-5.5467035351594043E-2</v>
      </c>
      <c r="I17" s="515">
        <f>IF(ISNUMBER(((NºAsuntos!I17/NºAsuntos!G17)-Datos!BE17)/Datos!BE17),((NºAsuntos!I17/NºAsuntos!G17)-Datos!BE17)/Datos!BE17," - ")</f>
        <v>0.15822014051522254</v>
      </c>
      <c r="J17" s="521">
        <f>IF(ISNUMBER((('Resol  Asuntos'!D17/NºAsuntos!G17)-Datos!BF17)/Datos!BF17),(('Resol  Asuntos'!D17/NºAsuntos!G17)-Datos!BF17)/Datos!BF17," - ")</f>
        <v>3.4928641486018562E-2</v>
      </c>
      <c r="K17" s="522">
        <f>IF(ISNUMBER((((NºAsuntos!C17+NºAsuntos!E17)/NºAsuntos!G17)-Datos!BG17)/Datos!BG17),(((NºAsuntos!C17+NºAsuntos!E17)/NºAsuntos!G17)-Datos!BG17)/Datos!BG17," - ")</f>
        <v>0.10331736205211775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-0.21276595744680851</v>
      </c>
      <c r="C18" s="515">
        <f>IF(ISNUMBER(
   IF(D_I="SI",(Datos!J18-Datos!T18)/Datos!T18,(Datos!J18+Datos!AD18-(Datos!T18+Datos!AL18))/(Datos!T18+Datos!AL18))
     ),IF(D_I="SI",(Datos!J18-Datos!T18)/Datos!T18,(Datos!J18+Datos!AD18-(Datos!T18+Datos!AL18))/(Datos!T18+Datos!AL18))," - ")</f>
        <v>0.37254901960784315</v>
      </c>
      <c r="D18" s="515">
        <f>IF(ISNUMBER(
   IF(D_I="SI",(Datos!K18-Datos!U18)/Datos!U18,(Datos!K18+Datos!AE18-(Datos!U18+Datos!AM18))/(Datos!U18+Datos!AM18))
     ),IF(D_I="SI",(Datos!K18-Datos!U18)/Datos!U18,(Datos!K18+Datos!AE18-(Datos!U18+Datos!AM18))/(Datos!U18+Datos!AM18))," - ")</f>
        <v>0.41860465116279072</v>
      </c>
      <c r="E18" s="515">
        <f>IF(ISNUMBER(
   IF(D_I="SI",(Datos!L18-Datos!V18)/Datos!V18,(Datos!L18+Datos!AF18-(Datos!V18+Datos!AN18))/(Datos!V18+Datos!AN18))
     ),IF(D_I="SI",(Datos!L18-Datos!V18)/Datos!V18,(Datos!L18+Datos!AF18-(Datos!V18+Datos!AN18))/(Datos!V18+Datos!AN18))," - ")</f>
        <v>0.55555555555555558</v>
      </c>
      <c r="F18" s="515">
        <f>IF(ISNUMBER((Datos!M18-Datos!W18)/Datos!W18),(Datos!M18-Datos!W18)/Datos!W18," - ")</f>
        <v>1.6</v>
      </c>
      <c r="G18" s="516">
        <f>IF(ISNUMBER((Datos!N18-Datos!X18)/Datos!X18),(Datos!N18-Datos!X18)/Datos!X18," - ")</f>
        <v>-0.13043478260869565</v>
      </c>
      <c r="H18" s="514">
        <f>IF(ISNUMBER(((NºAsuntos!G18/NºAsuntos!E18)-Datos!BD18)/Datos!BD18),((NºAsuntos!G18/NºAsuntos!E18)-Datos!BD18)/Datos!BD18," - ")</f>
        <v>3.3554817275747523E-2</v>
      </c>
      <c r="I18" s="515">
        <f>IF(ISNUMBER(((NºAsuntos!I18/NºAsuntos!G18)-Datos!BE18)/Datos!BE18),((NºAsuntos!I18/NºAsuntos!G18)-Datos!BE18)/Datos!BE18," - ")</f>
        <v>9.6539162112932578E-2</v>
      </c>
      <c r="J18" s="521">
        <f>IF(ISNUMBER((('Resol  Asuntos'!D18/NºAsuntos!G18)-Datos!BF18)/Datos!BF18),(('Resol  Asuntos'!D18/NºAsuntos!G18)-Datos!BF18)/Datos!BF18," - ")</f>
        <v>0.8327868852459015</v>
      </c>
      <c r="K18" s="522">
        <f>IF(ISNUMBER((((NºAsuntos!C18+NºAsuntos!E18)/NºAsuntos!G18)-Datos!BG18)/Datos!BG18),(((NºAsuntos!C18+NºAsuntos!E18)/NºAsuntos!G18)-Datos!BG18)/Datos!BG18," - ")</f>
        <v>-0.23034459685513553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9.2286501377410471E-2</v>
      </c>
      <c r="C23" s="1152">
        <f>IF(ISNUMBER(
   IF(Criterios!B14="SI",(Datos!J23-Datos!T23)/Datos!T23,(Datos!J23+Datos!AD23-(Datos!T23+Datos!AL23))/(Datos!T23+Datos!AL23))
     ),IF(Criterios!B14="SI",(Datos!J23-Datos!T23)/Datos!T23,(Datos!J23+Datos!AD23-(Datos!T23+Datos!AL23))/(Datos!T23+Datos!AL23))," - ")</f>
        <v>6.2706270627062702E-2</v>
      </c>
      <c r="D23" s="1152">
        <f>IF(ISNUMBER(
   IF(Criterios!B14="SI",(Datos!K23-Datos!U23)/Datos!U23,(Datos!K23+Datos!AE23-(Datos!U23+Datos!AM23))/(Datos!U23+Datos!AM23))
     ),IF(Criterios!B14="SI",(Datos!K23-Datos!U23)/Datos!U23,(Datos!K23+Datos!AE23-(Datos!U23+Datos!AM23))/(Datos!U23+Datos!AM23))," - ")</f>
        <v>8.2644628099173556E-3</v>
      </c>
      <c r="E23" s="1152">
        <f>IF(ISNUMBER(
   IF(Criterios!B14="SI",(Datos!L23-Datos!V23)/Datos!V23,(Datos!L23+Datos!AF23-(Datos!V23+Datos!AN23))/(Datos!V23+Datos!AN23))
     ),IF(Criterios!B14="SI",(Datos!L23-Datos!V23)/Datos!V23,(Datos!L23+Datos!AF23-(Datos!V23+Datos!AN23))/(Datos!V23+Datos!AN23))," - ")</f>
        <v>0.16180371352785147</v>
      </c>
      <c r="F23" s="1153">
        <f>IF(ISNUMBER((Datos!M23-Datos!W23)/Datos!W23),(Datos!M23-Datos!W23)/Datos!W23," - ")</f>
        <v>9.375E-2</v>
      </c>
      <c r="G23" s="1154">
        <f>IF(ISNUMBER((Datos!N23-Datos!X23)/Datos!X23),(Datos!N23-Datos!X23)/Datos!X23," - ")</f>
        <v>6.7073170731707321E-2</v>
      </c>
      <c r="H23" s="1154">
        <f>IF(ISNUMBER(((NºAsuntos!G23/NºAsuntos!E23)-Datos!BD23)/Datos!BD23),((NºAsuntos!G23/NºAsuntos!E23)-Datos!BD23)/Datos!BD23," - ")</f>
        <v>-5.1229403008059213E-2</v>
      </c>
      <c r="I23" s="1154">
        <f>IF(ISNUMBER(((NºAsuntos!I23/NºAsuntos!G23)-Datos!BE23)/Datos!BE23),((NºAsuntos!I23/NºAsuntos!G23)-Datos!BE23)/Datos!BE23," - ")</f>
        <v>0.15228073226942648</v>
      </c>
      <c r="J23" s="1154">
        <f>IF(ISNUMBER((('Resol  Asuntos'!D23/NºAsuntos!G23)-Datos!BF23)/Datos!BF23),(('Resol  Asuntos'!D23/NºAsuntos!G23)-Datos!BF23)/Datos!BF23," - ")</f>
        <v>8.4784836065573688E-2</v>
      </c>
      <c r="K23" s="1154">
        <f>IF(ISNUMBER((((NºAsuntos!C23+NºAsuntos!E23)/NºAsuntos!G23)-Datos!BG23)/Datos!BG23),(((NºAsuntos!C23+NºAsuntos!E23)/NºAsuntos!G23)-Datos!BG23)/Datos!BG23," - ")</f>
        <v>6.9985969576133455E-2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0.11510483525887891</v>
      </c>
      <c r="C31" s="1092">
        <f>IF(ISNUMBER(
   IF(J_V="SI",(Datos!J31-Datos!T31)/Datos!T31,(Datos!J31+Datos!Z31-(Datos!T31+Datos!AH31))/(Datos!T31+Datos!AH31))
     ),IF(J_V="SI",(Datos!J31-Datos!T31)/Datos!T31,(Datos!J31+Datos!Z31-(Datos!T31+Datos!AH31))/(Datos!T31+Datos!AH31))," - ")</f>
        <v>8.3636363636363634E-2</v>
      </c>
      <c r="D31" s="1092">
        <f>IF(ISNUMBER(
   IF(J_V="SI",(Datos!K31-Datos!U31)/Datos!U31,(Datos!K31+Datos!AA31-(Datos!U31+Datos!AI31))/(Datos!U31+Datos!AI31))
     ),IF(J_V="SI",(Datos!K31-Datos!U31)/Datos!U31,(Datos!K31+Datos!AA31-(Datos!U31+Datos!AI31))/(Datos!U31+Datos!AI31))," - ")</f>
        <v>-3.9792387543252594E-2</v>
      </c>
      <c r="E31" s="1092">
        <f>IF(ISNUMBER(
   IF(J_V="SI",(Datos!L31-Datos!V31)/Datos!V31,(Datos!L31+Datos!AB31-(Datos!V31+Datos!AJ31))/(Datos!V31+Datos!AJ31))
     ),IF(J_V="SI",(Datos!L31-Datos!V31)/Datos!V31,(Datos!L31+Datos!AB31-(Datos!V31+Datos!AJ31))/(Datos!V31+Datos!AJ31))," - ")</f>
        <v>0.19232446576537288</v>
      </c>
      <c r="F31" s="1093">
        <f>IF(ISNUMBER((Datos!M31-Datos!W31)/Datos!W31),(Datos!M31-Datos!W31)/Datos!W31," - ")</f>
        <v>-7.7981651376146793E-2</v>
      </c>
      <c r="G31" s="1094">
        <f>IF(ISNUMBER((Datos!N31-Datos!X31)/Datos!X31),(Datos!N31-Datos!X31)/Datos!X31," - ")</f>
        <v>-2.9090909090909091E-2</v>
      </c>
      <c r="H31" s="1095">
        <f>IF(ISNUMBER((Tasas!B31-Datos!BD31)/Datos!BD31),(Tasas!B31-Datos!BD31)/Datos!BD31," - ")</f>
        <v>-0.11390237105501511</v>
      </c>
      <c r="I31" s="1096">
        <f>IF(ISNUMBER((Tasas!C31-Datos!BE31)/Datos!BE31),(Tasas!C31-Datos!BE31)/Datos!BE31," - ")</f>
        <v>0.24173611029258665</v>
      </c>
      <c r="J31" s="1097">
        <f>IF(ISNUMBER((Tasas!D31-Datos!BF31)/Datos!BF31),(Tasas!D31-Datos!BF31)/Datos!BF31," - ")</f>
        <v>-0.34990767164680203</v>
      </c>
      <c r="K31" s="1097">
        <f>IF(ISNUMBER((Tasas!E31-Datos!BG31)/Datos!BG31),(Tasas!E31-Datos!BG31)/Datos!BG31," - ")</f>
        <v>0.1508276388113455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63v9sYsy7VIt3ojvHXzuG6IilSelZInR6qk6KrwYt7ck1bO/hsyhLxl95D8ZkLwhfegFB8ZZP0bsveyRJpQng==" saltValue="eHY7YpnHD+iyRiUo02wq1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CARAVACA DE LA CRUZ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0.54545454545454541</v>
      </c>
      <c r="C10" s="498">
        <f>IF(ISNUMBER(NºAsuntos!I10/NºAsuntos!G10),NºAsuntos!I10/NºAsuntos!G10," - ")</f>
        <v>4.333333333333333</v>
      </c>
      <c r="D10" s="499">
        <f>IF(ISNUMBER('Resol  Asuntos'!D10/NºAsuntos!G10),'Resol  Asuntos'!D10/NºAsuntos!G10," - ")</f>
        <v>0.16666666666666666</v>
      </c>
      <c r="E10" s="500">
        <f>IF(ISNUMBER((NºAsuntos!C10+NºAsuntos!E10)/NºAsuntos!G10),(NºAsuntos!C10+NºAsuntos!E10)/NºAsuntos!G10," - ")</f>
        <v>5.166666666666667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0.91992551210428308</v>
      </c>
      <c r="C12" s="498">
        <f>IF(ISNUMBER(NºAsuntos!I12/NºAsuntos!G12),NºAsuntos!I12/NºAsuntos!G12," - ")</f>
        <v>3.7085020242914979</v>
      </c>
      <c r="D12" s="499">
        <f>IF(ISNUMBER('Resol  Asuntos'!D12/NºAsuntos!G12),'Resol  Asuntos'!D12/NºAsuntos!G12," - ")</f>
        <v>0.19230769230769232</v>
      </c>
      <c r="E12" s="500">
        <f>IF(ISNUMBER((NºAsuntos!C12+NºAsuntos!E12)/NºAsuntos!G12),(NºAsuntos!C12+NºAsuntos!E12)/NºAsuntos!G12," - ")</f>
        <v>4.716599190283401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0.91240875912408759</v>
      </c>
      <c r="C14" s="1156">
        <f>IF(ISNUMBER(NºAsuntos!I14/NºAsuntos!G14),NºAsuntos!I14/NºAsuntos!G14," - ")</f>
        <v>3.7160000000000002</v>
      </c>
      <c r="D14" s="1157">
        <f>IF(ISNUMBER('Resol  Asuntos'!D14/NºAsuntos!G14),'Resol  Asuntos'!D14/NºAsuntos!G14," - ")</f>
        <v>0.192</v>
      </c>
      <c r="E14" s="1158">
        <f>IF(ISNUMBER((NºAsuntos!C14+NºAsuntos!E14)/NºAsuntos!G14),(NºAsuntos!C14+NºAsuntos!E14)/NºAsuntos!G14," - ")</f>
        <v>4.7220000000000004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0.95644599303135891</v>
      </c>
      <c r="C17" s="498">
        <f>IF(ISNUMBER(NºAsuntos!I17/NºAsuntos!G17),NºAsuntos!I17/NºAsuntos!G17," - ")</f>
        <v>1.4426229508196722</v>
      </c>
      <c r="D17" s="499">
        <f>IF(ISNUMBER('Resol  Asuntos'!D17/NºAsuntos!G17),'Resol  Asuntos'!D17/NºAsuntos!G17," - ")</f>
        <v>0.16757741347905283</v>
      </c>
      <c r="E17" s="500">
        <f>IF(ISNUMBER((NºAsuntos!C17+NºAsuntos!E17)/NºAsuntos!G17),(NºAsuntos!C17+NºAsuntos!E17)/NºAsuntos!G17," - ")</f>
        <v>2.4225865209471769</v>
      </c>
      <c r="G17" s="523"/>
    </row>
    <row r="18" spans="1:7">
      <c r="A18" s="450" t="str">
        <f>Datos!A18</f>
        <v>Jdos. Violencia contra la mujer</v>
      </c>
      <c r="B18" s="497">
        <f>IF(ISNUMBER(NºAsuntos!G18/NºAsuntos!E18),NºAsuntos!G18/NºAsuntos!E18," - ")</f>
        <v>0.87142857142857144</v>
      </c>
      <c r="C18" s="498">
        <f>IF(ISNUMBER(NºAsuntos!I18/NºAsuntos!G18),NºAsuntos!I18/NºAsuntos!G18," - ")</f>
        <v>1.3770491803278688</v>
      </c>
      <c r="D18" s="499">
        <f>IF(ISNUMBER('Resol  Asuntos'!D18/NºAsuntos!G18),'Resol  Asuntos'!D18/NºAsuntos!G18," - ")</f>
        <v>0.21311475409836064</v>
      </c>
      <c r="E18" s="500">
        <f>IF(ISNUMBER((NºAsuntos!C18+NºAsuntos!E18)/NºAsuntos!G18),(NºAsuntos!C18+NºAsuntos!E18)/NºAsuntos!G18," - ")</f>
        <v>1.7540983606557377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0.94720496894409933</v>
      </c>
      <c r="C23" s="1156">
        <f>IF(ISNUMBER(NºAsuntos!I23/NºAsuntos!G23),NºAsuntos!I23/NºAsuntos!G23," - ")</f>
        <v>1.4360655737704917</v>
      </c>
      <c r="D23" s="1159">
        <f>IF(ISNUMBER('Resol  Asuntos'!D23/NºAsuntos!G23),'Resol  Asuntos'!D23/NºAsuntos!G23," - ")</f>
        <v>0.1721311475409836</v>
      </c>
      <c r="E23" s="1158">
        <f>IF(ISNUMBER((NºAsuntos!C23+NºAsuntos!E23)/NºAsuntos!G23),(NºAsuntos!C23+NºAsuntos!E23)/NºAsuntos!G23," - ")</f>
        <v>2.3557377049180328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0.93120805369127513</v>
      </c>
      <c r="C31" s="1099">
        <f>IF(ISNUMBER(NºAsuntos!I31/NºAsuntos!G31),NºAsuntos!I31/NºAsuntos!G31," - ")</f>
        <v>2.4630630630630632</v>
      </c>
      <c r="D31" s="1100">
        <f>IF(ISNUMBER('Resol  Asuntos'!D31/NºAsuntos!G31),'Resol  Asuntos'!D31/NºAsuntos!G31," - ")</f>
        <v>0.18108108108108109</v>
      </c>
      <c r="E31" s="1101">
        <f>IF(ISNUMBER((NºAsuntos!C31+NºAsuntos!E31)/NºAsuntos!G31),(NºAsuntos!C31+NºAsuntos!E31)/NºAsuntos!G31," - ")</f>
        <v>3.4216216216216218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KbLsJ8PfaY6lIus06f24+bU7ykcvNZ+WUlux356a4UuVoUECkWLqu4HXlrqACDMbWahQpey2YDt3tY2enP/Gw==" saltValue="ed7hzIv7WHvWcIQ/JjQZ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CARAVACA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26</v>
      </c>
      <c r="AB10" s="374">
        <f>IF(ISNUMBER(Datos!R10),Datos!R10," - ")</f>
        <v>6</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0.54545454545454541</v>
      </c>
      <c r="AM10" s="284">
        <f>IF(ISNUMBER(((NºAsuntos!I10/NºAsuntos!G10)*11)/factor_trimestre),((NºAsuntos!I10/NºAsuntos!G10)*11)/factor_trimestre," - ")</f>
        <v>13</v>
      </c>
      <c r="AN10" s="267">
        <f>IF(ISNUMBER('Resol  Asuntos'!D10/NºAsuntos!G10),'Resol  Asuntos'!D10/NºAsuntos!G10," - ")</f>
        <v>0.16666666666666666</v>
      </c>
      <c r="AO10" s="268">
        <f>IF(ISNUMBER((NºAsuntos!C10+NºAsuntos!E10)/NºAsuntos!G10),(NºAsuntos!C10+NºAsuntos!E10)/NºAsuntos!G10," - ")</f>
        <v>5.166666666666667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v>
      </c>
      <c r="AJ12" s="243" t="str">
        <f>IF(ISNUMBER(Datos!BW12),Datos!BW12," - ")</f>
        <v xml:space="preserve"> - </v>
      </c>
      <c r="AK12" s="242" t="str">
        <f>IF(ISNUMBER(Datos!BX12),Datos!BX12," - ")</f>
        <v xml:space="preserve"> - </v>
      </c>
      <c r="AL12" s="266">
        <f>IF(ISNUMBER(NºAsuntos!G12/NºAsuntos!E12),NºAsuntos!G12/NºAsuntos!E12," - ")</f>
        <v>0.91992551210428308</v>
      </c>
      <c r="AM12" s="284">
        <f>IF(ISNUMBER(((NºAsuntos!I12/NºAsuntos!G12)*11)/factor_trimestre),((NºAsuntos!I12/NºAsuntos!G12)*11)/factor_trimestre," - ")</f>
        <v>11.125506072874494</v>
      </c>
      <c r="AN12" s="267">
        <f>IF(ISNUMBER('Resol  Asuntos'!D12/NºAsuntos!G12),'Resol  Asuntos'!D12/NºAsuntos!G12," - ")</f>
        <v>0.19230769230769232</v>
      </c>
      <c r="AO12" s="268">
        <f>IF(ISNUMBER((NºAsuntos!C12+NºAsuntos!E12)/NºAsuntos!G12),(NºAsuntos!C12+NºAsuntos!E12)/NºAsuntos!G12," - ")</f>
        <v>4.716599190283401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21</v>
      </c>
      <c r="G14" s="1163">
        <f t="shared" si="5"/>
        <v>20</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59</v>
      </c>
      <c r="Y14" s="1165">
        <f t="shared" si="6"/>
        <v>65</v>
      </c>
      <c r="Z14" s="1165">
        <f t="shared" si="6"/>
        <v>0</v>
      </c>
      <c r="AA14" s="1165">
        <f t="shared" si="6"/>
        <v>26</v>
      </c>
      <c r="AB14" s="1165">
        <f t="shared" si="6"/>
        <v>2448</v>
      </c>
      <c r="AC14" s="1165">
        <f t="shared" si="6"/>
        <v>32</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0.91240875912408759</v>
      </c>
      <c r="AM14" s="1171">
        <f>IF(ISNUMBER(((NºAsuntos!I14/NºAsuntos!G14)*11)/factor_trimestre),((NºAsuntos!I14/NºAsuntos!G14)*11)/factor_trimestre," - ")</f>
        <v>11.148000000000001</v>
      </c>
      <c r="AN14" s="1172">
        <f>IF(ISNUMBER('Resol  Asuntos'!D14/NºAsuntos!G14),'Resol  Asuntos'!D14/NºAsuntos!G14," - ")</f>
        <v>0.192</v>
      </c>
      <c r="AO14" s="1173">
        <f>IF(ISNUMBER((NºAsuntos!C14+NºAsuntos!E14)/NºAsuntos!G14),(NºAsuntos!C14+NºAsuntos!E14)/NºAsuntos!G14," - ")</f>
        <v>4.7220000000000004</v>
      </c>
      <c r="AP14" s="1174" t="str">
        <f t="shared" si="2"/>
        <v xml:space="preserve"> - </v>
      </c>
      <c r="AQ14" s="1174">
        <f>IF(ISNUMBER((H14-W14+K14)/(F14)),(H14-W14+K14)/(F14)," - ")</f>
        <v>-0.2857142857142857</v>
      </c>
      <c r="AR14" s="1175">
        <f>IF(ISNUMBER((Datos!P14-Datos!Q14)/(Datos!R14-Datos!P14+Datos!Q14)),(Datos!P14-Datos!Q14)/(Datos!R14-Datos!P14+Datos!Q14)," - ")</f>
        <v>3.6409822184589331E-2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767</v>
      </c>
      <c r="G17" s="373">
        <f>IF(ISNUMBER(IF(D_I="SI",Datos!I17,Datos!I17+Datos!AC17)),IF(D_I="SI",Datos!I17,Datos!I17+Datos!AC17)," - ")</f>
        <v>756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549</v>
      </c>
      <c r="X17" s="240">
        <f>IF(ISNUMBER(Datos!Q17),Datos!Q17," - ")</f>
        <v>13</v>
      </c>
      <c r="Y17" s="374">
        <f t="shared" ref="Y17:Y22" si="9">SUM(W17:X17)</f>
        <v>562</v>
      </c>
      <c r="Z17" s="375" t="str">
        <f>IF(ISNUMBER(Datos!CC17),Datos!CC17," - ")</f>
        <v xml:space="preserve"> - </v>
      </c>
      <c r="AA17" s="372">
        <f>IF(ISNUMBER(IF(D_I="SI",Datos!L17,Datos!L17+Datos!AF17)),IF(D_I="SI",Datos!L17,Datos!L17+Datos!AF17)," - ")</f>
        <v>792</v>
      </c>
      <c r="AB17" s="374">
        <f>IF(ISNUMBER(Datos!R17),Datos!R17," - ")</f>
        <v>111</v>
      </c>
      <c r="AC17" s="374">
        <f t="shared" si="8"/>
        <v>903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0.95644599303135891</v>
      </c>
      <c r="AM17" s="284">
        <f>IF(ISNUMBER(((NºAsuntos!I17/NºAsuntos!G17)*11)/factor_trimestre),((NºAsuntos!I17/NºAsuntos!G17)*11)/factor_trimestre," - ")</f>
        <v>4.3278688524590168</v>
      </c>
      <c r="AN17" s="267">
        <f>IF(ISNUMBER('Resol  Asuntos'!D17/NºAsuntos!G17),'Resol  Asuntos'!D17/NºAsuntos!G17," - ")</f>
        <v>0.16757741347905283</v>
      </c>
      <c r="AO17" s="268">
        <f>IF(ISNUMBER((NºAsuntos!C17+NºAsuntos!E17)/NºAsuntos!G17),(NºAsuntos!C17+NºAsuntos!E17)/NºAsuntos!G17," - ")</f>
        <v>2.4225865209471769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84</v>
      </c>
      <c r="AB18" s="374">
        <f>IF(ISNUMBER(Datos!R18),Datos!R18," - ")</f>
        <v>0</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0.87142857142857144</v>
      </c>
      <c r="AM18" s="284">
        <f>IF(ISNUMBER(((NºAsuntos!I18/NºAsuntos!G18)*11)/factor_trimestre),((NºAsuntos!I18/NºAsuntos!G18)*11)/factor_trimestre," - ")</f>
        <v>4.1311475409836067</v>
      </c>
      <c r="AN18" s="267">
        <f>IF(ISNUMBER('Resol  Asuntos'!D18/NºAsuntos!G18),'Resol  Asuntos'!D18/NºAsuntos!G18," - ")</f>
        <v>0.21311475409836064</v>
      </c>
      <c r="AO18" s="268">
        <f>IF(ISNUMBER((NºAsuntos!C18+NºAsuntos!E18)/NºAsuntos!G18),(NºAsuntos!C18+NºAsuntos!E18)/NºAsuntos!G18," - ")</f>
        <v>1.7540983606557377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767</v>
      </c>
      <c r="G23" s="1163">
        <f>SUBTOTAL(9,G16:G22)</f>
        <v>793</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610</v>
      </c>
      <c r="X23" s="1164">
        <f t="shared" si="14"/>
        <v>13</v>
      </c>
      <c r="Y23" s="1165">
        <f t="shared" si="14"/>
        <v>623</v>
      </c>
      <c r="Z23" s="1165">
        <f t="shared" si="14"/>
        <v>0</v>
      </c>
      <c r="AA23" s="1165">
        <f t="shared" si="14"/>
        <v>876</v>
      </c>
      <c r="AB23" s="1165">
        <f t="shared" si="14"/>
        <v>111</v>
      </c>
      <c r="AC23" s="1165">
        <f t="shared" si="14"/>
        <v>987</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0.94720496894409933</v>
      </c>
      <c r="AM23" s="1171">
        <f>IF(ISNUMBER(((NºAsuntos!I23/NºAsuntos!G23)*11)/factor_trimestre),((NºAsuntos!I23/NºAsuntos!G23)*11)/factor_trimestre," - ")</f>
        <v>4.3081967213114751</v>
      </c>
      <c r="AN23" s="1172">
        <f>IF(ISNUMBER('Resol  Asuntos'!D23/NºAsuntos!G23),'Resol  Asuntos'!D23/NºAsuntos!G23," - ")</f>
        <v>0.1721311475409836</v>
      </c>
      <c r="AO23" s="1173">
        <f>IF(ISNUMBER((NºAsuntos!C23+NºAsuntos!E23)/NºAsuntos!G23),(NºAsuntos!C23+NºAsuntos!E23)/NºAsuntos!G23," - ")</f>
        <v>2.3557377049180328</v>
      </c>
      <c r="AP23" s="1174" t="str">
        <f t="shared" si="2"/>
        <v xml:space="preserve"> - </v>
      </c>
      <c r="AQ23" s="1174">
        <f>IF(ISNUMBER((H23-W23+K23)/(F23)),(H23-W23+K23)/(F23)," - ")</f>
        <v>-0.79530638852672753</v>
      </c>
      <c r="AR23" s="1175">
        <f>IF(ISNUMBER((Datos!P23-Datos!Q23)/(Datos!R23-Datos!P23+Datos!Q23)),(Datos!P23-Datos!Q23)/(Datos!R23-Datos!P23+Datos!Q23)," - ")</f>
        <v>6.7307692307692304E-2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788</v>
      </c>
      <c r="G31" s="1118">
        <f t="shared" si="20"/>
        <v>813</v>
      </c>
      <c r="H31" s="1117">
        <f t="shared" si="20"/>
        <v>0</v>
      </c>
      <c r="I31" s="1119">
        <f t="shared" si="20"/>
        <v>0</v>
      </c>
      <c r="J31" s="1119">
        <f t="shared" si="20"/>
        <v>0</v>
      </c>
      <c r="K31" s="1180">
        <f t="shared" si="20"/>
        <v>0</v>
      </c>
      <c r="L31" s="1119">
        <f t="shared" si="20"/>
        <v>165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616</v>
      </c>
      <c r="X31" s="1118">
        <f t="shared" si="21"/>
        <v>72</v>
      </c>
      <c r="Y31" s="1125">
        <f t="shared" si="21"/>
        <v>688</v>
      </c>
      <c r="Z31" s="1125">
        <f t="shared" si="21"/>
        <v>0</v>
      </c>
      <c r="AA31" s="1125">
        <f t="shared" si="21"/>
        <v>902</v>
      </c>
      <c r="AB31" s="1125">
        <f t="shared" si="21"/>
        <v>2559</v>
      </c>
      <c r="AC31" s="1125">
        <f t="shared" si="21"/>
        <v>1019</v>
      </c>
      <c r="AD31" s="1125">
        <f t="shared" si="21"/>
        <v>0</v>
      </c>
      <c r="AE31" s="1127">
        <f t="shared" si="21"/>
        <v>0</v>
      </c>
      <c r="AF31" s="1128">
        <f t="shared" si="21"/>
        <v>0</v>
      </c>
      <c r="AG31" s="1129">
        <f t="shared" si="21"/>
        <v>0</v>
      </c>
      <c r="AH31" s="1127">
        <f t="shared" si="21"/>
        <v>0</v>
      </c>
      <c r="AI31" s="1117">
        <f t="shared" si="21"/>
        <v>201</v>
      </c>
      <c r="AJ31" s="1117">
        <f t="shared" si="21"/>
        <v>0</v>
      </c>
      <c r="AK31" s="1127">
        <f t="shared" si="21"/>
        <v>0</v>
      </c>
      <c r="AL31" s="1183">
        <f>IF(ISNUMBER(NºAsuntos!G31/NºAsuntos!E31),NºAsuntos!G31/NºAsuntos!E31," - ")</f>
        <v>0.93120805369127513</v>
      </c>
      <c r="AM31" s="1184">
        <f>IF(ISNUMBER(((NºAsuntos!I31/NºAsuntos!G31)*11)/factor_trimestre),((NºAsuntos!I31/NºAsuntos!G31)*11)/factor_trimestre," - ")</f>
        <v>7.3891891891891897</v>
      </c>
      <c r="AN31" s="1184">
        <f>IF(ISNUMBER('Resol  Asuntos'!D31/NºAsuntos!G31),'Resol  Asuntos'!D31/NºAsuntos!G31," - ")</f>
        <v>0.18108108108108109</v>
      </c>
      <c r="AO31" s="1185">
        <f>IF(ISNUMBER((NºAsuntos!C31+NºAsuntos!E31)/NºAsuntos!G31),(NºAsuntos!C31+NºAsuntos!E31)/NºAsuntos!G31," - ")</f>
        <v>3.4216216216216218</v>
      </c>
      <c r="AP31" s="1186" t="str">
        <f t="shared" si="2"/>
        <v xml:space="preserve"> - </v>
      </c>
      <c r="AQ31" s="1187">
        <f>IF(OR(ISNUMBER(FIND("01",Criterios!A8,1)),ISNUMBER(FIND("02",Criterios!A8,1)),ISNUMBER(FIND("03",Criterios!A8,1)),ISNUMBER(FIND("04",Criterios!A8,1))),(I31-W31+K31)/(F31-K31),(H31-W31+K31)/(F31-K31))</f>
        <v>-0.78172588832487311</v>
      </c>
      <c r="AR31" s="1188">
        <f>IF(ISNUMBER((Datos!P31-Datos!Q31)/(Datos!R31-Datos!P31+Datos!Q31)),(Datos!P31-Datos!Q31)/(Datos!R31-Datos!P31+Datos!Q31)," - ")</f>
        <v>3.7712895377128956E-2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390.76779123498221</v>
      </c>
      <c r="G33" s="277">
        <f>IF(ISNUMBER(STDEV(G8:G30)),STDEV(G8:G30),"-")</f>
        <v>370.77788242455631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277.02647286255274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50.284192347098504</v>
      </c>
      <c r="AJ33" s="276">
        <f t="shared" si="25"/>
        <v>0</v>
      </c>
      <c r="AK33" s="278">
        <f t="shared" si="25"/>
        <v>0</v>
      </c>
      <c r="AL33" s="273">
        <f t="shared" si="25"/>
        <v>0.15640029392294844</v>
      </c>
      <c r="AM33" s="274">
        <f t="shared" si="25"/>
        <v>4.1655826442995538</v>
      </c>
      <c r="AN33" s="274">
        <f t="shared" si="25"/>
        <v>1.8393995140995593E-2</v>
      </c>
      <c r="AO33" s="275">
        <f t="shared" si="25"/>
        <v>1.5010892193373671</v>
      </c>
      <c r="AP33" s="317" t="str">
        <f t="shared" si="25"/>
        <v>-</v>
      </c>
      <c r="AQ33" s="318">
        <f t="shared" si="25"/>
        <v>0.3603360315377897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zoFagiJtZUG4Qj3i9yctEgCmiUhBdx4TWesfKrxa1lApG08JE2rgASSjqgERUvvXssFoAewJYIWeakKzLIn6g==" saltValue="EKeZc5Aq0FVinoh+pPFC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CARAVACA DE LA CRUZ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-0.15384615384615385</v>
      </c>
      <c r="F10" s="393">
        <f>IF(ISNUMBER((Datos!K10-Datos!U10)/Datos!U10),(Datos!K10-Datos!U10)/Datos!U10," - ")</f>
        <v>0.5</v>
      </c>
      <c r="G10" s="394">
        <f>IF(ISNUMBER((Datos!L10-Datos!V10)/Datos!V10),(Datos!L10-Datos!V10)/Datos!V10," - ")</f>
        <v>8.3333333333333329E-2</v>
      </c>
      <c r="H10" s="244">
        <f>IF(ISNUMBER((Datos!M10-Datos!W10)/Datos!W10),(Datos!M10-Datos!W10)/Datos!W10," - ")</f>
        <v>-0.75</v>
      </c>
      <c r="I10" s="395">
        <f>IF(ISNUMBER((Tasas!C10-Datos!BE10)/Datos!BE10),(Tasas!C10-Datos!BE10)/Datos!BE10," - ")</f>
        <v>-0.27777777777777785</v>
      </c>
      <c r="J10" s="394">
        <f>IF(ISNUMBER((Tasas!D10-Datos!BF10)/Datos!BF10),(Tasas!D10-Datos!BF10)/Datos!BF10," - ")</f>
        <v>-0.83333333333333337</v>
      </c>
      <c r="K10" s="396">
        <f>IF(ISNUMBER((Tasas!E10-Datos!BG10)/Datos!BG10),(Tasas!E10-Datos!BG10)/Datos!BG10," - ")</f>
        <v>-0.26190476190476186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-0.19491525423728814</v>
      </c>
      <c r="I12" s="395">
        <f>IF(ISNUMBER((Tasas!C12-Datos!BE12)/Datos!BE12),(Tasas!C12-Datos!BE12)/Datos!BE12," - ")</f>
        <v>0.33897729853957043</v>
      </c>
      <c r="J12" s="394">
        <f>IF(ISNUMBER((Tasas!D12-Datos!BF12)/Datos!BF12),(Tasas!D12-Datos!BF12)/Datos!BF12," - ")</f>
        <v>-0.52616077616077617</v>
      </c>
      <c r="K12" s="396">
        <f>IF(ISNUMBER((Tasas!E12-Datos!BG12)/Datos!BG12),(Tasas!E12-Datos!BG12)/Datos!BG12," - ")</f>
        <v>0.24216646946799242</v>
      </c>
      <c r="M12" t="e">
        <f>IF(Monitorios="SI",Datos!CE12,0)</f>
        <v>#REF!</v>
      </c>
      <c r="N12" t="e">
        <f>IF(Monitorios="SI",Datos!CF12,0)</f>
        <v>#REF!</v>
      </c>
      <c r="O12" t="e">
        <f>IF(Monitorios="SI",Datos!CG12,0)</f>
        <v>#REF!</v>
      </c>
      <c r="P12" t="e">
        <f>IF(Monitorios="SI",Datos!CH12,0)</f>
        <v>#REF!</v>
      </c>
      <c r="Q12">
        <f>IF(J_V="SI",0,Datos!AG12)</f>
        <v>68</v>
      </c>
      <c r="R12">
        <f>IF(J_V="SI",0,Datos!AH12)</f>
        <v>28</v>
      </c>
      <c r="S12">
        <f>IF(J_V="SI",0,Datos!AI12)</f>
        <v>38</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-0.21311475409836064</v>
      </c>
      <c r="I14" s="402">
        <f>IF(ISNUMBER((Tasas!C14-Datos!BE14)/Datos!BE14),(Tasas!C14-Datos!BE14)/Datos!BE14," - ")</f>
        <v>0.3304197530864198</v>
      </c>
      <c r="J14" s="400">
        <f>IF(ISNUMBER((Tasas!D14-Datos!BF14)/Datos!BF14),(Tasas!D14-Datos!BF14)/Datos!BF14," - ")</f>
        <v>-0.53189380530973451</v>
      </c>
      <c r="K14" s="403">
        <f>IF(ISNUMBER((Tasas!E14-Datos!BG14)/Datos!BG14),(Tasas!E14-Datos!BG14)/Datos!BG14," - ")</f>
        <v>0.23601995249406191</v>
      </c>
      <c r="M14" t="e">
        <f>IF(Monitorios="SI",Datos!CE14,0)</f>
        <v>#REF!</v>
      </c>
      <c r="N14" t="e">
        <f>IF(Monitorios="SI",Datos!CF14,0)</f>
        <v>#REF!</v>
      </c>
      <c r="O14" t="e">
        <f>IF(Monitorios="SI",Datos!CG14,0)</f>
        <v>#REF!</v>
      </c>
      <c r="P14" t="e">
        <f>IF(Monitorios="SI",Datos!CH14,0)</f>
        <v>#REF!</v>
      </c>
      <c r="Q14">
        <f>IF(J_V="SI",0,Datos!AG14)</f>
        <v>68</v>
      </c>
      <c r="R14">
        <f>IF(J_V="SI",0,Datos!AH14)</f>
        <v>28</v>
      </c>
      <c r="S14">
        <f>IF(J_V="SI",0,Datos!AI14)</f>
        <v>38</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0.1134020618556701</v>
      </c>
      <c r="E17" s="393">
        <f>IF(ISNUMBER(
   IF(D_I="SI",(Datos!J17-Datos!T17)/Datos!T17,(Datos!J17+Datos!AD17-(Datos!T17+Datos!AL17))/(Datos!T17+Datos!AL17))
     ),IF(D_I="SI",(Datos!J17-Datos!T17)/Datos!T17,(Datos!J17+Datos!AD17-(Datos!T17+Datos!AL17))/(Datos!T17+Datos!AL17))," - ")</f>
        <v>3.4234234234234232E-2</v>
      </c>
      <c r="F17" s="393">
        <f>IF(ISNUMBER(
   IF(D_I="SI",(Datos!K17-Datos!U17)/Datos!U17,(Datos!K17+Datos!AE17-(Datos!U17+Datos!AM17))/(Datos!U17+Datos!AM17))
     ),IF(D_I="SI",(Datos!K17-Datos!U17)/Datos!U17,(Datos!K17+Datos!AE17-(Datos!U17+Datos!AM17))/(Datos!U17+Datos!AM17))," - ")</f>
        <v>-2.3131672597864767E-2</v>
      </c>
      <c r="G17" s="394">
        <f>IF(ISNUMBER(
   IF(D_I="SI",(Datos!L17-Datos!V17)/Datos!V17,(Datos!L17+Datos!AF17-(Datos!V17+Datos!AN17))/(Datos!V17+Datos!AN17))
     ),IF(D_I="SI",(Datos!L17-Datos!V17)/Datos!V17,(Datos!L17+Datos!AF17-(Datos!V17+Datos!AN17))/(Datos!V17+Datos!AN17))," - ")</f>
        <v>0.13142857142857142</v>
      </c>
      <c r="H17" s="244">
        <f>IF(ISNUMBER((Datos!M17-Datos!W17)/Datos!W17),(Datos!M17-Datos!W17)/Datos!W17," - ")</f>
        <v>1.098901098901099E-2</v>
      </c>
      <c r="I17" s="395">
        <f>IF(ISNUMBER((Tasas!C17-Datos!BE17)/Datos!BE17),(Tasas!C17-Datos!BE17)/Datos!BE17," - ")</f>
        <v>0.15822014051522254</v>
      </c>
      <c r="J17" s="394">
        <f>IF(ISNUMBER((Tasas!D17-Datos!BF17)/Datos!BF17),(Tasas!D17-Datos!BF17)/Datos!BF17," - ")</f>
        <v>3.4928641486018562E-2</v>
      </c>
      <c r="K17" s="396">
        <f>IF(ISNUMBER((Tasas!E17-Datos!BG17)/Datos!BG17),(Tasas!E17-Datos!BG17)/Datos!BG17," - ")</f>
        <v>0.10331736205211775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-0.21276595744680851</v>
      </c>
      <c r="E18" s="393">
        <f>IF(ISNUMBER(
   IF(D_I="SI",(Datos!J18-Datos!T18)/Datos!T18,(Datos!J18+Datos!AD18-(Datos!T18+Datos!AL18))/(Datos!T18+Datos!AL18))
     ),IF(D_I="SI",(Datos!J18-Datos!T18)/Datos!T18,(Datos!J18+Datos!AD18-(Datos!T18+Datos!AL18))/(Datos!T18+Datos!AL18))," - ")</f>
        <v>0.37254901960784315</v>
      </c>
      <c r="F18" s="393">
        <f>IF(ISNUMBER(
   IF(D_I="SI",(Datos!K18-Datos!U18)/Datos!U18,(Datos!K18+Datos!AE18-(Datos!U18+Datos!AM18))/(Datos!U18+Datos!AM18))
     ),IF(D_I="SI",(Datos!K18-Datos!U18)/Datos!U18,(Datos!K18+Datos!AE18-(Datos!U18+Datos!AM18))/(Datos!U18+Datos!AM18))," - ")</f>
        <v>0.41860465116279072</v>
      </c>
      <c r="G18" s="394">
        <f>IF(ISNUMBER(
   IF(D_I="SI",(Datos!L18-Datos!V18)/Datos!V18,(Datos!L18+Datos!AF18-(Datos!V18+Datos!AN18))/(Datos!V18+Datos!AN18))
     ),IF(D_I="SI",(Datos!L18-Datos!V18)/Datos!V18,(Datos!L18+Datos!AF18-(Datos!V18+Datos!AN18))/(Datos!V18+Datos!AN18))," - ")</f>
        <v>0.55555555555555558</v>
      </c>
      <c r="H18" s="244">
        <f>IF(ISNUMBER((Datos!M18-Datos!W18)/Datos!W18),(Datos!M18-Datos!W18)/Datos!W18," - ")</f>
        <v>1.6</v>
      </c>
      <c r="I18" s="395">
        <f>IF(ISNUMBER((Tasas!C18-Datos!BE18)/Datos!BE18),(Tasas!C18-Datos!BE18)/Datos!BE18," - ")</f>
        <v>9.6539162112932578E-2</v>
      </c>
      <c r="J18" s="394">
        <f>IF(ISNUMBER((Tasas!D18-Datos!BF18)/Datos!BF18),(Tasas!D18-Datos!BF18)/Datos!BF18," - ")</f>
        <v>0.8327868852459015</v>
      </c>
      <c r="K18" s="396">
        <f>IF(ISNUMBER((Tasas!E18-Datos!BG18)/Datos!BG18),(Tasas!E18-Datos!BG18)/Datos!BG18," - ")</f>
        <v>-0.23034459685513553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9.2286501377410471E-2</v>
      </c>
      <c r="E23" s="399">
        <f>IF(ISNUMBER(
   IF(D_I="SI",(Datos!J23-Datos!T23)/Datos!T23,(Datos!J23+Datos!AD23-(Datos!T23+Datos!AL23))/(Datos!T23+Datos!AL23))
     ),IF(D_I="SI",(Datos!J23-Datos!T23)/Datos!T23,(Datos!J23+Datos!AD23-(Datos!T23+Datos!AL23))/(Datos!T23+Datos!AL23))," - ")</f>
        <v>6.2706270627062702E-2</v>
      </c>
      <c r="F23" s="399">
        <f>IF(ISNUMBER(
   IF(D_I="SI",(Datos!K23-Datos!U23)/Datos!U23,(Datos!K23+Datos!AE23-(Datos!U23+Datos!AM23))/(Datos!U23+Datos!AM23))
     ),IF(D_I="SI",(Datos!K23-Datos!U23)/Datos!U23,(Datos!K23+Datos!AE23-(Datos!U23+Datos!AM23))/(Datos!U23+Datos!AM23))," - ")</f>
        <v>8.2644628099173556E-3</v>
      </c>
      <c r="G23" s="400">
        <f>IF(ISNUMBER(
   IF(D_I="SI",(Datos!L23-Datos!V23)/Datos!V23,(Datos!L23+Datos!AF23-(Datos!V23+Datos!AN23))/(Datos!V23+Datos!AN23))
     ),IF(D_I="SI",(Datos!L23-Datos!V23)/Datos!V23,(Datos!L23+Datos!AF23-(Datos!V23+Datos!AN23))/(Datos!V23+Datos!AN23))," - ")</f>
        <v>0.16180371352785147</v>
      </c>
      <c r="H23" s="401">
        <f>IF(ISNUMBER((Datos!M23-Datos!W23)/Datos!W23),(Datos!M23-Datos!W23)/Datos!W23," - ")</f>
        <v>9.375E-2</v>
      </c>
      <c r="I23" s="402">
        <f>IF(ISNUMBER((Tasas!C23-Datos!BE23)/Datos!BE23),(Tasas!C23-Datos!BE23)/Datos!BE23," - ")</f>
        <v>0.15228073226942648</v>
      </c>
      <c r="J23" s="400">
        <f>IF(ISNUMBER((Tasas!D23-Datos!BF23)/Datos!BF23),(Tasas!D23-Datos!BF23)/Datos!BF23," - ")</f>
        <v>8.4784836065573688E-2</v>
      </c>
      <c r="K23" s="403">
        <f>IF(ISNUMBER((Tasas!E23-Datos!BG23)/Datos!BG23),(Tasas!E23-Datos!BG23)/Datos!BG23," - ")</f>
        <v>6.9985969576133455E-2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0.11510483525887891</v>
      </c>
      <c r="E31" s="409">
        <f>IF(ISNUMBER(
   IF(J_V="SI",(Datos!J31-Datos!T31)/Datos!T31,(Datos!J31+Datos!Z31-(Datos!T31+Datos!AH31))/(Datos!T31+Datos!AH31))
     ),IF(J_V="SI",(Datos!J31-Datos!T31)/Datos!T31,(Datos!J31+Datos!Z31-(Datos!T31+Datos!AH31))/(Datos!T31+Datos!AH31))," - ")</f>
        <v>8.3636363636363634E-2</v>
      </c>
      <c r="F31" s="409">
        <f>IF(ISNUMBER(
   IF(J_V="SI",(Datos!K31-Datos!U31)/Datos!U31,(Datos!K31+Datos!AA31-(Datos!U31+Datos!AI31))/(Datos!U31+Datos!AI31))
     ),IF(J_V="SI",(Datos!K31-Datos!U31)/Datos!U31,(Datos!K31+Datos!AA31-(Datos!U31+Datos!AI31))/(Datos!U31+Datos!AI31))," - ")</f>
        <v>-3.9792387543252594E-2</v>
      </c>
      <c r="G31" s="410">
        <f>IF(ISNUMBER(
   IF(J_V="SI",(Datos!L31-Datos!V31)/Datos!V31,(Datos!L31+Datos!AB31-(Datos!V31+Datos!AJ31))/(Datos!V31+Datos!AJ31))
     ),IF(J_V="SI",(Datos!L31-Datos!V31)/Datos!V31,(Datos!L31+Datos!AB31-(Datos!V31+Datos!AJ31))/(Datos!V31+Datos!AJ31))," - ")</f>
        <v>0.19232446576537288</v>
      </c>
      <c r="H31" s="411">
        <f>IF(ISNUMBER((Datos!M31-Datos!W31)/Datos!W31),(Datos!M31-Datos!W31)/Datos!W31," - ")</f>
        <v>-7.7981651376146793E-2</v>
      </c>
      <c r="I31" s="408">
        <f>IF(ISNUMBER((Tasas!C31-Datos!BE31)/Datos!BE31),(Tasas!C31-Datos!BE31)/Datos!BE31," - ")</f>
        <v>0.24173611029258665</v>
      </c>
      <c r="J31" s="409">
        <f>IF(ISNUMBER((Tasas!D31-Datos!BF31)/Datos!BF31),(Tasas!D31-Datos!BF31)/Datos!BF31," - ")</f>
        <v>-0.34990767164680203</v>
      </c>
      <c r="K31" s="410">
        <f>IF(ISNUMBER((Tasas!E31-Datos!BG31)/Datos!BG31),(Tasas!E31-Datos!BG31)/Datos!BG31," - ")</f>
        <v>0.1508276388113455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0.22445976274621718</v>
      </c>
      <c r="E33" s="303">
        <f t="shared" si="1"/>
        <v>0.21806557567164547</v>
      </c>
      <c r="F33" s="303">
        <f t="shared" si="1"/>
        <v>0.27181359351716627</v>
      </c>
      <c r="G33" s="304">
        <f t="shared" si="1"/>
        <v>0.21743034146560913</v>
      </c>
      <c r="H33" s="310">
        <f t="shared" si="1"/>
        <v>0.79561354354329628</v>
      </c>
      <c r="I33" s="302">
        <f t="shared" si="1"/>
        <v>0.22471168706335143</v>
      </c>
      <c r="J33" s="303">
        <f t="shared" si="1"/>
        <v>0.60153550114956755</v>
      </c>
      <c r="K33" s="304">
        <f t="shared" si="1"/>
        <v>0.22241808253823792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r5iDpHaqAtCt+0NOdSJ2Npl/2RNvvWeI+oNcs/HYct5fkbvS4jgAaJxv1xb1+BPiQ9S7y6B76jty1/DP+9CAg==" saltValue="KWqC1TIUb4suVRIfPFbQ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